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192" windowHeight="9312" activeTab="0"/>
  </bookViews>
  <sheets>
    <sheet name="общая инф" sheetId="1" r:id="rId1"/>
    <sheet name="перечень домов в управлении" sheetId="2" r:id="rId2"/>
    <sheet name="расторгнутые договоры" sheetId="3" r:id="rId3"/>
    <sheet name="фин.отчетность общая" sheetId="4" r:id="rId4"/>
    <sheet name="фин.отчеты по домам" sheetId="5" r:id="rId5"/>
    <sheet name="ТС домов" sheetId="6" r:id="rId6"/>
    <sheet name="пестовская6к.1" sheetId="7" r:id="rId7"/>
    <sheet name="Московская 28 к.1" sheetId="8" r:id="rId8"/>
    <sheet name="Б.Московская 82 2" sheetId="9" r:id="rId9"/>
    <sheet name="Голикова 4 к.3" sheetId="10" r:id="rId10"/>
    <sheet name="Голикова 4 к.2" sheetId="11" r:id="rId11"/>
    <sheet name="Корсунова 42 к.2" sheetId="12" r:id="rId12"/>
    <sheet name="Великая 21" sheetId="13" r:id="rId13"/>
    <sheet name="ком.услуги " sheetId="14" r:id="rId14"/>
    <sheet name="договор4" sheetId="15" r:id="rId15"/>
    <sheet name="договор5" sheetId="16" r:id="rId16"/>
    <sheet name="договор6" sheetId="17" r:id="rId17"/>
    <sheet name="адм.ответственность" sheetId="18" r:id="rId18"/>
    <sheet name="платежи" sheetId="19" r:id="rId19"/>
    <sheet name="взыскание" sheetId="20" r:id="rId20"/>
    <sheet name="прочие договоры" sheetId="21" r:id="rId21"/>
  </sheets>
  <definedNames/>
  <calcPr fullCalcOnLoad="1"/>
</workbook>
</file>

<file path=xl/sharedStrings.xml><?xml version="1.0" encoding="utf-8"?>
<sst xmlns="http://schemas.openxmlformats.org/spreadsheetml/2006/main" count="3764" uniqueCount="674">
  <si>
    <t>Кап.ремонт</t>
  </si>
  <si>
    <t>Приложение</t>
  </si>
  <si>
    <t>к распоряжению Администрации</t>
  </si>
  <si>
    <t>Новгородской области</t>
  </si>
  <si>
    <t>от                 №</t>
  </si>
  <si>
    <t>ИНФОРМАЦИЯ,</t>
  </si>
  <si>
    <t>подлежащая раскрытию организацией, осуществляющей деятельность в сфере управления многоквартирными домами</t>
  </si>
  <si>
    <t>1. Общие сведения об управляющей организации</t>
  </si>
  <si>
    <r>
      <t xml:space="preserve">Фирменное наименование юридического лица: </t>
    </r>
    <r>
      <rPr>
        <b/>
        <sz val="12"/>
        <rFont val="Times New Roman"/>
        <family val="1"/>
      </rPr>
      <t>ООО «ЖилКом»</t>
    </r>
  </si>
  <si>
    <t>Фамилия, имя, отчество руководителя управляющей организации или индивидуального предпринимателя</t>
  </si>
  <si>
    <t xml:space="preserve">Генеральный директор: Раиса Михайловна Филиппова </t>
  </si>
  <si>
    <t>Реквизиты свидетельства о государственной регистрации в качестве юридического лица или индивидуального предпринимателя</t>
  </si>
  <si>
    <r>
      <t xml:space="preserve">ОГРН </t>
    </r>
    <r>
      <rPr>
        <b/>
        <sz val="12"/>
        <rFont val="Times New Roman"/>
        <family val="1"/>
      </rPr>
      <t>1105321000630</t>
    </r>
    <r>
      <rPr>
        <sz val="12"/>
        <rFont val="Times New Roman"/>
        <family val="1"/>
      </rPr>
      <t xml:space="preserve"> дата присвоения </t>
    </r>
    <r>
      <rPr>
        <b/>
        <sz val="12"/>
        <rFont val="Times New Roman"/>
        <family val="1"/>
      </rPr>
      <t>08.02.2010г.</t>
    </r>
    <r>
      <rPr>
        <sz val="12"/>
        <rFont val="Times New Roman"/>
        <family val="1"/>
      </rPr>
      <t xml:space="preserve"> наименование органа принявшего решение о регистрации </t>
    </r>
    <r>
      <rPr>
        <b/>
        <sz val="12"/>
        <rFont val="Times New Roman"/>
        <family val="1"/>
      </rPr>
      <t>ИФНС России № 9 по Новг. Обл.</t>
    </r>
  </si>
  <si>
    <r>
      <t xml:space="preserve">Почтовый адрес: </t>
    </r>
    <r>
      <rPr>
        <b/>
        <sz val="12"/>
        <rFont val="Times New Roman"/>
        <family val="1"/>
      </rPr>
      <t>173020, Великий Новгород, ул. Московская, д.53, офис 24.</t>
    </r>
  </si>
  <si>
    <r>
      <t xml:space="preserve">Адрес фактического местонахождения  органов управления управляющей организации: </t>
    </r>
    <r>
      <rPr>
        <b/>
        <sz val="12"/>
        <rFont val="Times New Roman"/>
        <family val="1"/>
      </rPr>
      <t>Великий Новгород, ул. Московская, д.53, офис 24.</t>
    </r>
  </si>
  <si>
    <r>
      <t>Адрес электронной почты:</t>
    </r>
    <r>
      <rPr>
        <b/>
        <sz val="12"/>
        <rFont val="Times New Roman"/>
        <family val="1"/>
      </rPr>
      <t xml:space="preserve"> ZhilCom.N@yandex.ru</t>
    </r>
  </si>
  <si>
    <r>
      <t xml:space="preserve">Часы работы управляющей организации: </t>
    </r>
    <r>
      <rPr>
        <b/>
        <sz val="12"/>
        <rFont val="Times New Roman"/>
        <family val="1"/>
      </rPr>
      <t>Понедельник – Четверг с 8</t>
    </r>
    <r>
      <rPr>
        <b/>
        <vertAlign val="superscript"/>
        <sz val="12"/>
        <rFont val="Times New Roman"/>
        <family val="1"/>
      </rPr>
      <t>00</t>
    </r>
    <r>
      <rPr>
        <b/>
        <sz val="12"/>
        <rFont val="Times New Roman"/>
        <family val="1"/>
      </rPr>
      <t xml:space="preserve"> до 17</t>
    </r>
    <r>
      <rPr>
        <b/>
        <vertAlign val="superscript"/>
        <sz val="12"/>
        <rFont val="Times New Roman"/>
        <family val="1"/>
      </rPr>
      <t>00</t>
    </r>
    <r>
      <rPr>
        <b/>
        <sz val="12"/>
        <rFont val="Times New Roman"/>
        <family val="1"/>
      </rPr>
      <t>, обед с 12</t>
    </r>
    <r>
      <rPr>
        <b/>
        <vertAlign val="superscript"/>
        <sz val="12"/>
        <rFont val="Times New Roman"/>
        <family val="1"/>
      </rPr>
      <t>00</t>
    </r>
    <r>
      <rPr>
        <b/>
        <sz val="12"/>
        <rFont val="Times New Roman"/>
        <family val="1"/>
      </rPr>
      <t xml:space="preserve"> до 13</t>
    </r>
    <r>
      <rPr>
        <b/>
        <vertAlign val="superscript"/>
        <sz val="12"/>
        <rFont val="Times New Roman"/>
        <family val="1"/>
      </rPr>
      <t>00</t>
    </r>
    <r>
      <rPr>
        <b/>
        <sz val="12"/>
        <rFont val="Times New Roman"/>
        <family val="1"/>
      </rPr>
      <t>; Пятница с 8</t>
    </r>
    <r>
      <rPr>
        <b/>
        <vertAlign val="superscript"/>
        <sz val="12"/>
        <rFont val="Times New Roman"/>
        <family val="1"/>
      </rPr>
      <t>00</t>
    </r>
    <r>
      <rPr>
        <b/>
        <sz val="12"/>
        <rFont val="Times New Roman"/>
        <family val="1"/>
      </rPr>
      <t xml:space="preserve"> до 15</t>
    </r>
    <r>
      <rPr>
        <b/>
        <vertAlign val="superscript"/>
        <sz val="12"/>
        <rFont val="Times New Roman"/>
        <family val="1"/>
      </rPr>
      <t>00</t>
    </r>
    <r>
      <rPr>
        <b/>
        <sz val="12"/>
        <rFont val="Times New Roman"/>
        <family val="1"/>
      </rPr>
      <t>, без обеда.</t>
    </r>
  </si>
  <si>
    <r>
      <t xml:space="preserve">Часы приёма населения: </t>
    </r>
    <r>
      <rPr>
        <b/>
        <sz val="12"/>
        <rFont val="Times New Roman"/>
        <family val="1"/>
      </rPr>
      <t>с 8</t>
    </r>
    <r>
      <rPr>
        <b/>
        <vertAlign val="superscript"/>
        <sz val="12"/>
        <rFont val="Times New Roman"/>
        <family val="1"/>
      </rPr>
      <t>00</t>
    </r>
    <r>
      <rPr>
        <b/>
        <sz val="12"/>
        <rFont val="Times New Roman"/>
        <family val="1"/>
      </rPr>
      <t xml:space="preserve"> до 12</t>
    </r>
    <r>
      <rPr>
        <b/>
        <vertAlign val="superscript"/>
        <sz val="12"/>
        <rFont val="Times New Roman"/>
        <family val="1"/>
      </rPr>
      <t>00</t>
    </r>
    <r>
      <rPr>
        <b/>
        <sz val="12"/>
        <rFont val="Times New Roman"/>
        <family val="1"/>
      </rPr>
      <t>.</t>
    </r>
  </si>
  <si>
    <r>
      <t xml:space="preserve">Часы работы диспетчерских служб: </t>
    </r>
    <r>
      <rPr>
        <b/>
        <sz val="12"/>
        <rFont val="Times New Roman"/>
        <family val="1"/>
      </rPr>
      <t>круглосуточно</t>
    </r>
    <r>
      <rPr>
        <sz val="12"/>
        <rFont val="Times New Roman"/>
        <family val="1"/>
      </rPr>
      <t>.</t>
    </r>
  </si>
  <si>
    <t>Сведения о членстве управляющей организации в саморегулируемой организации и (или) других объединениях управляющих организаций  с указанием их наименований и адресов, включая официальный сайт в сети Интернет</t>
  </si>
  <si>
    <t>Перечень многоквартирных домов (далее – МКД или ТСЖ), находящихся в управлении на дату предоставления информации</t>
  </si>
  <si>
    <t>№ п/п</t>
  </si>
  <si>
    <t xml:space="preserve">Адрес </t>
  </si>
  <si>
    <r>
      <t>Общая площадь дома (м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</si>
  <si>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Число зарегистрированных граждан</t>
  </si>
  <si>
    <t>Количество квартир</t>
  </si>
  <si>
    <t>Этаж-ность</t>
  </si>
  <si>
    <t>Наличие ЦГВ</t>
  </si>
  <si>
    <t>(+/-)</t>
  </si>
  <si>
    <t>Наличие плит</t>
  </si>
  <si>
    <t>(газовые/ электрические)</t>
  </si>
  <si>
    <t>Количество лифтов</t>
  </si>
  <si>
    <t>(шт)</t>
  </si>
  <si>
    <t>Наличие мусоропроводов</t>
  </si>
  <si>
    <t>1.</t>
  </si>
  <si>
    <t>-</t>
  </si>
  <si>
    <t>+</t>
  </si>
  <si>
    <t>2.</t>
  </si>
  <si>
    <t>3.</t>
  </si>
  <si>
    <t>4.</t>
  </si>
  <si>
    <t>Перечень МКД, в отношении которых договоры управления были расторгнуты в предыдущем календарном году</t>
  </si>
  <si>
    <t>№</t>
  </si>
  <si>
    <t>п/п</t>
  </si>
  <si>
    <t>Адрес МКД</t>
  </si>
  <si>
    <t>Причина расторжения договора</t>
  </si>
  <si>
    <t>2.2. Сведения о доходах и расходах управляющей организации  за 2010г.</t>
  </si>
  <si>
    <r>
      <t xml:space="preserve">Сумма доходов всего </t>
    </r>
    <r>
      <rPr>
        <b/>
        <sz val="11"/>
        <rFont val="Times New Roman"/>
        <family val="1"/>
      </rPr>
      <t>(тыс.руб.)</t>
    </r>
  </si>
  <si>
    <t>Сведения о доходах, в т.ч.</t>
  </si>
  <si>
    <r>
      <t xml:space="preserve">Сумма расходов всего </t>
    </r>
    <r>
      <rPr>
        <b/>
        <sz val="11"/>
        <rFont val="Times New Roman"/>
        <family val="1"/>
      </rPr>
      <t>(тыс.руб.)</t>
    </r>
  </si>
  <si>
    <t>Сведения о расходах, в т.ч.</t>
  </si>
  <si>
    <t>Содержание и текущий ремонт</t>
  </si>
  <si>
    <t>Капитальный ремонт (доп.сбор)</t>
  </si>
  <si>
    <t>Коммунальные услуги</t>
  </si>
  <si>
    <t>Услуги управления</t>
  </si>
  <si>
    <t>Пестовская 6 к1</t>
  </si>
  <si>
    <t>3. Информация о выполняемых работах (оказываемых услугах) управляющей организации отдельно по каждому МКД</t>
  </si>
  <si>
    <t>3.1. Информация о техническом состоянии общего имущества МКД на дату предоставления информации</t>
  </si>
  <si>
    <t>Адрес МКД: Пестовская 6.к1</t>
  </si>
  <si>
    <t xml:space="preserve">Наименование общестроительных конструкций, </t>
  </si>
  <si>
    <t>инженерных коммуникаций</t>
  </si>
  <si>
    <t>Материалы</t>
  </si>
  <si>
    <t>Техническое состояние</t>
  </si>
  <si>
    <t>Степень физического износа</t>
  </si>
  <si>
    <t>Фундамент</t>
  </si>
  <si>
    <t>Ж/бетонные</t>
  </si>
  <si>
    <t>Хорошее</t>
  </si>
  <si>
    <t>Наружные стены</t>
  </si>
  <si>
    <t>Кирпичные</t>
  </si>
  <si>
    <t>Внутренние перегородки</t>
  </si>
  <si>
    <t>Чердачные перекрытия</t>
  </si>
  <si>
    <t>Железобетон</t>
  </si>
  <si>
    <t>Межэтажные перекрытия</t>
  </si>
  <si>
    <t>Крыша</t>
  </si>
  <si>
    <t>Черепица</t>
  </si>
  <si>
    <t>Полы (в местах общего пользования)</t>
  </si>
  <si>
    <t>Плитка, ж/б</t>
  </si>
  <si>
    <t>Оконные проемы (в местах общего пользования)</t>
  </si>
  <si>
    <t>Стеклопакеты пласт.</t>
  </si>
  <si>
    <t>Дверные проемы (в местах общего пользования)</t>
  </si>
  <si>
    <t>Металлические</t>
  </si>
  <si>
    <t>Наружная отделка фасада</t>
  </si>
  <si>
    <t>Силикатный кирпич</t>
  </si>
  <si>
    <t>Внутренняя отделка (в местах общего пользования)</t>
  </si>
  <si>
    <t>Штукатурка</t>
  </si>
  <si>
    <t>Состояние отмостки</t>
  </si>
  <si>
    <t>Удовлетворительное</t>
  </si>
  <si>
    <t>Крыльца</t>
  </si>
  <si>
    <t>Цементная стяжка</t>
  </si>
  <si>
    <t>Асфальтобетонное покрытие придомовой территории</t>
  </si>
  <si>
    <t>Асфальт</t>
  </si>
  <si>
    <t>Удовлетворительно</t>
  </si>
  <si>
    <t>Электроснабжение</t>
  </si>
  <si>
    <t>Внутренняя</t>
  </si>
  <si>
    <t>Холодное водоснабжение</t>
  </si>
  <si>
    <t>Стальные</t>
  </si>
  <si>
    <t>Горячее водоснабжение</t>
  </si>
  <si>
    <t>Водоотведение</t>
  </si>
  <si>
    <t>Чугунные</t>
  </si>
  <si>
    <t>Газоснабжение</t>
  </si>
  <si>
    <t>Отопление (от внешних котельных)</t>
  </si>
  <si>
    <t>-----</t>
  </si>
  <si>
    <t>Отопление (от домовых котельных)</t>
  </si>
  <si>
    <t>Печи</t>
  </si>
  <si>
    <t>Калориферы</t>
  </si>
  <si>
    <t>АГВ (другое)</t>
  </si>
  <si>
    <t>Газовые котлы</t>
  </si>
  <si>
    <t>прочее</t>
  </si>
  <si>
    <t>Адрес МКД: Московская 28 к.1</t>
  </si>
  <si>
    <t>Адрес МКД: Л.Голикова 4к.3</t>
  </si>
  <si>
    <t>Адрес МКД: Корсунова 42 к.2</t>
  </si>
  <si>
    <t>Адрес МКД: Б.Московская 82/2</t>
  </si>
  <si>
    <t>Адрес МКД: Великая 21</t>
  </si>
  <si>
    <t>3.3. Информация о предоставленных коммунальных услугах в 2010г.</t>
  </si>
  <si>
    <t>Адрес ТСЖ</t>
  </si>
  <si>
    <t>перечень коммунальных ресурсов</t>
  </si>
  <si>
    <t>Сведения о поставщике ресурсов</t>
  </si>
  <si>
    <r>
      <t xml:space="preserve">Объем закупаемых ресурсов </t>
    </r>
    <r>
      <rPr>
        <b/>
        <sz val="9"/>
        <rFont val="Times New Roman"/>
        <family val="1"/>
      </rPr>
      <t>(натур.показатель)</t>
    </r>
  </si>
  <si>
    <t>Приборы учета (ПУ)</t>
  </si>
  <si>
    <t>тарифы (цены) для потребителей, установленные для ресурсоснабжающих организаций с указанием реквизитов нормативно-правового акта и органа, устанавливающего тариф</t>
  </si>
  <si>
    <t>тарифы (цены) на коммунальные услуги, которые применяются управляющей организацией для расчета размера платежей для потребителей с указанием реквизитов нормативно-правового акта и органа, устанавливающего тариф</t>
  </si>
  <si>
    <t>Наличие общедомовых ПУ (шт)</t>
  </si>
  <si>
    <t>Наличие индивидуальных ПУ (шт)</t>
  </si>
  <si>
    <t>ул. Пестовская д.6 к.1</t>
  </si>
  <si>
    <t>Водоснабжение</t>
  </si>
  <si>
    <t>МУП «Новгородский Водоканал»</t>
  </si>
  <si>
    <t>1130 м3</t>
  </si>
  <si>
    <t>11,40 Постановление Администрации Великого Новгорода № 290 от 28.11.08</t>
  </si>
  <si>
    <t>водоотведение</t>
  </si>
  <si>
    <t>15,92 Постановление Администрации Великого Новгорода № 290 от 28.11.08</t>
  </si>
  <si>
    <r>
      <t>6. Сведения о привлечении к административной ответственности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(за предыдущий год) </t>
    </r>
  </si>
  <si>
    <t>- Количество случаев привлечения к административной ответственности</t>
  </si>
  <si>
    <t>- Копии документов о применении мер административного воздействия</t>
  </si>
  <si>
    <t>- Меры, принятые для устранения нарушений, повлекших применение административных санкций</t>
  </si>
  <si>
    <t>(тыс. руб.)</t>
  </si>
  <si>
    <t>Вид предоставляемых услуг</t>
  </si>
  <si>
    <t>Начислено населению за жилищно-коммунальные услуги</t>
  </si>
  <si>
    <t>Оплачено населением за жилищно-коммунальные услуги</t>
  </si>
  <si>
    <t>Задолженность населения</t>
  </si>
  <si>
    <t>Всего, в т.ч.</t>
  </si>
  <si>
    <t>текущая</t>
  </si>
  <si>
    <t>просроченная свыше 2-х месяцев</t>
  </si>
  <si>
    <t>1. Текущее содержание и ремонт общего имущества</t>
  </si>
  <si>
    <t>166588,20</t>
  </si>
  <si>
    <t>114034,66</t>
  </si>
  <si>
    <t>52553,54</t>
  </si>
  <si>
    <t>2. Капитальный ремонт</t>
  </si>
  <si>
    <t>143657,02</t>
  </si>
  <si>
    <t>3. Коммунальные услуги:</t>
  </si>
  <si>
    <t>3.1 теплоснабжение</t>
  </si>
  <si>
    <t>3.1 холодная вода</t>
  </si>
  <si>
    <t>17898,60</t>
  </si>
  <si>
    <t>17989,60</t>
  </si>
  <si>
    <t>3.3 водоотведение</t>
  </si>
  <si>
    <t>12882,00</t>
  </si>
  <si>
    <t>3384,64</t>
  </si>
  <si>
    <t>9497,36</t>
  </si>
  <si>
    <t>3.4 горячая вода</t>
  </si>
  <si>
    <t>3.5 газоснабжение</t>
  </si>
  <si>
    <t>3.6 электроснабжение</t>
  </si>
  <si>
    <t>8. Сведения о проводимой работе по взысканию задолженности за жилищно-коммунальные услуги:</t>
  </si>
  <si>
    <t>- количество материалов по взысканию задолженности, направленных в суд;</t>
  </si>
  <si>
    <t>- сумма, подлежащая взысканию;</t>
  </si>
  <si>
    <t>- направлено на исполнение в службу судебных приставов;</t>
  </si>
  <si>
    <t>- сумма принятой оплаты по исполнительным документам.</t>
  </si>
  <si>
    <t>9. Заключенные от имени собственников помещений в многоквартирном доме договора об использовании общего имущества</t>
  </si>
  <si>
    <r>
      <t xml:space="preserve">   - </t>
    </r>
    <r>
      <rPr>
        <sz val="12"/>
        <rFont val="Times New Roman"/>
        <family val="1"/>
      </rPr>
      <t>копия договора;</t>
    </r>
  </si>
  <si>
    <t xml:space="preserve">   - протокол общего собрания.</t>
  </si>
  <si>
    <t>5.</t>
  </si>
  <si>
    <t>6.</t>
  </si>
  <si>
    <t>5, 7, 9</t>
  </si>
  <si>
    <t>3</t>
  </si>
  <si>
    <t>2. Показатели финансово-экономической деятельности управляющей организации</t>
  </si>
  <si>
    <t>2.1. Бухгалтерский баланс за последний отчетный период, включая приложения.</t>
  </si>
  <si>
    <t>БУХГАЛТЕРСКИЙ БАЛАНС</t>
  </si>
  <si>
    <t>на 31 Декабря 2010 г.</t>
  </si>
  <si>
    <t>К О Д Ы</t>
  </si>
  <si>
    <t>Форма №1 по ОКУД</t>
  </si>
  <si>
    <t>Дата (год, месяц, число)</t>
  </si>
  <si>
    <t>2010|12|31</t>
  </si>
  <si>
    <t>Организация</t>
  </si>
  <si>
    <t>по ОКПО</t>
  </si>
  <si>
    <t>Идентификационный номер налогоплательщика</t>
  </si>
  <si>
    <t>ИНН</t>
  </si>
  <si>
    <t>5321138306/532101001</t>
  </si>
  <si>
    <t>Вид деятельности</t>
  </si>
  <si>
    <t>по ОКВЭД</t>
  </si>
  <si>
    <t>74.1</t>
  </si>
  <si>
    <t>Организационно-правовая форма                    форма собственности</t>
  </si>
  <si>
    <t>по ОКОПФ / ОКФС</t>
  </si>
  <si>
    <t>Единица измерения</t>
  </si>
  <si>
    <t>по ОКЕИ</t>
  </si>
  <si>
    <t>Местонахождение (адрес)</t>
  </si>
  <si>
    <t>173020, Новгородская обл, Великий Новгород г, Зеленая ул, д. 12, кв. 23</t>
  </si>
  <si>
    <t xml:space="preserve">Дата утверждения </t>
  </si>
  <si>
    <t xml:space="preserve">  .  .    </t>
  </si>
  <si>
    <t xml:space="preserve">Дата отправки / принятия </t>
  </si>
  <si>
    <t>АКТИВ</t>
  </si>
  <si>
    <t>Код</t>
  </si>
  <si>
    <t>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</si>
  <si>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</si>
  <si>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</si>
  <si>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</si>
  <si>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</si>
  <si>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 xml:space="preserve">-              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</si>
  <si>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</si>
  <si>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</si>
  <si>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</si>
  <si>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</si>
  <si>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</si>
  <si>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</si>
  <si>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</si>
  <si>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</si>
  <si>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</si>
  <si>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 xml:space="preserve">     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</si>
  <si>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</si>
  <si>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</si>
  <si>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</si>
  <si>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</si>
  <si>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</si>
  <si>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</si>
  <si>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</si>
  <si>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</si>
  <si>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</si>
  <si>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</si>
  <si>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</si>
  <si>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</si>
  <si>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</si>
  <si>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</si>
  <si>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</si>
  <si>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</t>
  </si>
  <si>
    <t>Форма 0710001 с.2</t>
  </si>
  <si>
    <t>ПАССИВ</t>
  </si>
  <si>
    <t>строки</t>
  </si>
  <si>
    <t>III.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</si>
  <si>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</si>
  <si>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</si>
  <si>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</si>
  <si>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</si>
  <si>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резервные фонды, образованные в соответствии</t>
  </si>
  <si>
    <t>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</si>
  <si>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</si>
  <si>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</si>
  <si>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</si>
  <si>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</si>
  <si>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</si>
  <si>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</si>
  <si>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</si>
  <si>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</si>
  <si>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</si>
  <si>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</si>
  <si>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</si>
  <si>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</si>
  <si>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</si>
  <si>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</si>
  <si>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</si>
  <si>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 (учредителям)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</si>
  <si>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</si>
  <si>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</si>
  <si>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</si>
  <si>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</si>
  <si>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 xml:space="preserve"> СПРАВКА О НАЛИЧИИ ЦЕННОСТЕЙ, УЧИТЫВАЕМЫХ НА ЗАБАЛАНСОВЫХ СЧЕТАХ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</si>
  <si>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</si>
  <si>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</si>
  <si>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</si>
  <si>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</si>
  <si>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</si>
  <si>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</si>
  <si>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</si>
  <si>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</si>
  <si>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</si>
  <si>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</si>
  <si>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Кузьмина Евгения Сергеевна</t>
  </si>
  <si>
    <t>Рентабельность</t>
  </si>
  <si>
    <t>УБОРКА ЛЕСТНИЧНЫХ КЛЕТОК</t>
  </si>
  <si>
    <t>ТЕХНИЧЕСКОЕ ОБСЛУЖИВАНИЕ И ТЕКУЩИЙ РЕМОНТ</t>
  </si>
  <si>
    <t>УБОРКА ПРИДОМОВОЙ ТЕРРИТОРИИ</t>
  </si>
  <si>
    <t>АВАРИЙНО-ДИСПЕТЧЕРСКАЯ СЛУЖБА</t>
  </si>
  <si>
    <t>ДЕЗИНФЕКЦИЯ</t>
  </si>
  <si>
    <t>ДЕРАТИЗАЦИЯ</t>
  </si>
  <si>
    <t>ТО ВДГО</t>
  </si>
  <si>
    <t>ТО ЛИФТОВ</t>
  </si>
  <si>
    <t>ДОХОДЫ</t>
  </si>
  <si>
    <t>ОБСЛУЖИВАНИЕ МУСОРОПРОВОДОВ</t>
  </si>
  <si>
    <t>ИТОГО РАСХОДОВ</t>
  </si>
  <si>
    <t>Единый налог</t>
  </si>
  <si>
    <t>ОБСЛУЖИВАНИЕ ДОМОФОНОВ</t>
  </si>
  <si>
    <t>УСЛУГИ СТОРОННИХ ОРГАНИЗАЦИЙ</t>
  </si>
  <si>
    <t>СМЕТА ДОХОДОВ И РАСХОДОВ</t>
  </si>
  <si>
    <t>2011г.</t>
  </si>
  <si>
    <t>ПРОЧИЕ РАБОТЫ (очистка тех.этажей, окос территории)</t>
  </si>
  <si>
    <t>СБОР И ВЫВОЗ ТБО без мусоропровода</t>
  </si>
  <si>
    <t>СБОР И ВЫВОЗ ТБО с мусоропроводом</t>
  </si>
  <si>
    <t>УСЛУГИ ИАЦ с учетом электросчетчиков</t>
  </si>
  <si>
    <t>УСЛУГИ ИАЦ без учета электросчетчиков</t>
  </si>
  <si>
    <t>ср.месячная</t>
  </si>
  <si>
    <t>ЭЛЕКТРОЭНЕРГИЯ НА ХОЗ.НУЖДЫ день</t>
  </si>
  <si>
    <t>ЭЛЕКТРОЭНЕРГИЯ НА ХОЗ.НУЖДЫ ночь</t>
  </si>
  <si>
    <t>ПРОВЕРКА ВЕНТКАНАЛОВ</t>
  </si>
  <si>
    <t>ПРОВЕРКА ДЫМОХОДОВ</t>
  </si>
  <si>
    <t>Доп.сбор</t>
  </si>
  <si>
    <t>тариф на м2</t>
  </si>
  <si>
    <t>АДМИНИСТРАТИВНО-УПРАВЛЕНЧЕСКИЕ РАСХОДЫ</t>
  </si>
  <si>
    <t>ТАРИФ на содержание и текущий ремонт</t>
  </si>
  <si>
    <t>бутовый</t>
  </si>
  <si>
    <t>рулонная</t>
  </si>
  <si>
    <t>деревянные</t>
  </si>
  <si>
    <t>деревянные, металлические</t>
  </si>
  <si>
    <t>Штукатурка, побелка, покраска</t>
  </si>
  <si>
    <t>частично бетон</t>
  </si>
  <si>
    <t>нет</t>
  </si>
  <si>
    <t>аллюминий</t>
  </si>
  <si>
    <t>черные трубы</t>
  </si>
  <si>
    <t>колонка</t>
  </si>
  <si>
    <t>удовлетворительное</t>
  </si>
  <si>
    <t>неудовлетворительнон</t>
  </si>
  <si>
    <t>металлочерепица</t>
  </si>
  <si>
    <t>пластиковые</t>
  </si>
  <si>
    <t>штукатурка</t>
  </si>
  <si>
    <t>бетон</t>
  </si>
  <si>
    <t>медь</t>
  </si>
  <si>
    <t>полипропилен</t>
  </si>
  <si>
    <t>полиэтилен</t>
  </si>
  <si>
    <t>котлы</t>
  </si>
  <si>
    <t>УТВЕРЖДАЮ</t>
  </si>
  <si>
    <t>Председатель ______________________________</t>
  </si>
  <si>
    <t>Ген. директор ООО "ЖилКом"</t>
  </si>
  <si>
    <t>_______________________/___________________/</t>
  </si>
  <si>
    <t>_________________________ Р.М. Филиппова</t>
  </si>
  <si>
    <t>Показатели по дому</t>
  </si>
  <si>
    <t>данные по дому</t>
  </si>
  <si>
    <t>месяц</t>
  </si>
  <si>
    <t>год постройки/сколько лет зданию</t>
  </si>
  <si>
    <t>Общая площадь</t>
  </si>
  <si>
    <t>Площадь подвала</t>
  </si>
  <si>
    <t>Площадь чердака</t>
  </si>
  <si>
    <t>Объем здания</t>
  </si>
  <si>
    <t>наличие котлов горячего водоснабжения</t>
  </si>
  <si>
    <t>Уборочная площадь лестничных клеток</t>
  </si>
  <si>
    <t>Площадь асфальта</t>
  </si>
  <si>
    <t>Площадь отмостки</t>
  </si>
  <si>
    <t>Площадь детской площадки</t>
  </si>
  <si>
    <t>Грунт</t>
  </si>
  <si>
    <t>Зеленые насаждения</t>
  </si>
  <si>
    <t>Количество лестничных клеток</t>
  </si>
  <si>
    <t>Площадь кровли</t>
  </si>
  <si>
    <t>Количество силовых установок</t>
  </si>
  <si>
    <t>Количество зарегистрированных жильцов</t>
  </si>
  <si>
    <t>Наличие мусоропровода</t>
  </si>
  <si>
    <t>Количество контейнеров</t>
  </si>
  <si>
    <t>Наличие домофона</t>
  </si>
  <si>
    <t>Площадь окон</t>
  </si>
  <si>
    <t>Количество вентканалов</t>
  </si>
  <si>
    <t>Количество дымоходов</t>
  </si>
  <si>
    <t>Показатель водомера холодной воды на начало года</t>
  </si>
  <si>
    <t>Показатель водомера горячей воды на начало года</t>
  </si>
  <si>
    <t>Показатель электросчетчика на начало года</t>
  </si>
  <si>
    <t>Показатель теплосчетчика на начало года</t>
  </si>
  <si>
    <t>Показатель электросчетчика на хоз.нужды на нач.года</t>
  </si>
  <si>
    <t>на</t>
  </si>
  <si>
    <t>ед.изм.</t>
  </si>
  <si>
    <t>норма</t>
  </si>
  <si>
    <t>количество раз</t>
  </si>
  <si>
    <t>расчет по дому</t>
  </si>
  <si>
    <t>тариф</t>
  </si>
  <si>
    <t>х</t>
  </si>
  <si>
    <t>Премия</t>
  </si>
  <si>
    <t>Подмена</t>
  </si>
  <si>
    <t>Налоги с ФОТ</t>
  </si>
  <si>
    <t>м2 уб.пл.</t>
  </si>
  <si>
    <t>Спецодежда, инвентарь, охрана труда</t>
  </si>
  <si>
    <t>чел</t>
  </si>
  <si>
    <t>Сапоги резиновые</t>
  </si>
  <si>
    <t>Перчатки резиновые</t>
  </si>
  <si>
    <t>Головной убор</t>
  </si>
  <si>
    <t>Веник "Сорго"</t>
  </si>
  <si>
    <t>Щетка</t>
  </si>
  <si>
    <t>Ведро</t>
  </si>
  <si>
    <t>Мыло</t>
  </si>
  <si>
    <t>Порошок</t>
  </si>
  <si>
    <t>м2</t>
  </si>
  <si>
    <t>м3</t>
  </si>
  <si>
    <t>Рукавицы комбиниров</t>
  </si>
  <si>
    <t>Жилет сигнальный 2 класса защиты</t>
  </si>
  <si>
    <t>Шланг полив 25 п.м.</t>
  </si>
  <si>
    <t>Самосвал</t>
  </si>
  <si>
    <t>Погрузчик</t>
  </si>
  <si>
    <t>Грейфер</t>
  </si>
  <si>
    <t>зп, расчетная численность</t>
  </si>
  <si>
    <t>Система вывоза мусора способом "опорожнения". Переносной мусоросборник. Здание до 5 этажей. Местонахождение на 1 этаже</t>
  </si>
  <si>
    <t>кол.прож.чел</t>
  </si>
  <si>
    <t>Система вывоза мусора способом "опорожнения". Переносной мусоросборник. Здание до 5 этажей. Местонахождение в цокольном этаже.</t>
  </si>
  <si>
    <t>Система вывоза мусора способом "опорожнения". Переносной мусоросборник. Здание до 5 этажей. Местонахождение в подвале.</t>
  </si>
  <si>
    <t>Система вывоза мусора способом "опорожнения". Контейнер. Здание до 5 этажей. Местонахождение на 1 этаже.</t>
  </si>
  <si>
    <t>Система вывоза мусора способом "опорожнения". Контейнер. Здание до 5 этажей. Местонахождение в цокольном этаже.</t>
  </si>
  <si>
    <t>Система вывоза мусора способом "опорожнения". Контейнер. Здание до 5 этажей. Местонахождение в подвале.</t>
  </si>
  <si>
    <t>Система вывоза мусора способом "опорожнения". Бункер. Здание до 5 этажей. Местонахождение на 1 этаже.</t>
  </si>
  <si>
    <t>Система вывоза мусора способом "опорожнения". Бункер. Здание до 5 этажей. Местонахождение в цокольном этаже.</t>
  </si>
  <si>
    <t>Система вывоза мусора способом "опорожнения". Бункер. Здание до 5 этажей. Местонахождение в подвале.</t>
  </si>
  <si>
    <t>Система вывоза мусора способом "опорожнения". Переносной мусоросборник. Количество этажей в здании с 6 до 9. Местонахождение на 1 этаже</t>
  </si>
  <si>
    <t>Система вывоза мусора способом "опорожнения". Переносной мусоросборник. Количество этажей в здании с 6 до 9. Местонахождение в цокольном этаже.</t>
  </si>
  <si>
    <t>Система вывоза мусора способом "опорожнения". Переносной мусоросборник. Количество этажей в здании с 6 до 9. Местонахождение в подвале.</t>
  </si>
  <si>
    <t>Система вывоза мусора способом "опорожнения". Контейнер. Количество этажей в здании с 6 до 9. Местонахождение на 1 этаже.</t>
  </si>
  <si>
    <t>Система вывоза мусора способом "опорожнения". Контейнер. Количество этажей в здании с 6 до 9. Местонахождение в цокольном этаже.</t>
  </si>
  <si>
    <t>Система вывоза мусора способом "опорожнения". Контейнер. Количество этажей в здании с 6 до 9. Местонахождение в подвале.</t>
  </si>
  <si>
    <t>Система вывоза мусора способом "опорожнения". Бункер. Количество этажей в здании с 6 до 9. Местонахождение на 1 этаже.</t>
  </si>
  <si>
    <t>Система вывоза мусора способом "опорожнения". Бункер. Количество этажей в здании с 6 до 9. Местонахождение в цокольном этаже.</t>
  </si>
  <si>
    <t>Система вывоза мусора способом "опорожнения". Бункер. Количество этажей в здании с 6 до 9. Местонахождение в подвале.</t>
  </si>
  <si>
    <t>Система вывоза мусора способом "опорожнения". Переносной мусоросборник. Количество этажей в здании от 10 до 13. Местонахождение на 1 этаже</t>
  </si>
  <si>
    <t>Система вывоза мусора способом "опорожнения". Переносной мусоросборник. Количество этажей в здании от 10 до 13. Местонахождение в цокольном этаже.</t>
  </si>
  <si>
    <t>Система вывоза мусора способом "опорожнения". Переносной мусоросборник. Количество этажей в здании от 10 до 13. Местонахождение в подвале.</t>
  </si>
  <si>
    <t>Система вывоза мусора способом "опорожнения". Контейнер. Количество этажей в здании от 10 до 13. Местонахождение на 1 этаже.</t>
  </si>
  <si>
    <t>Система вывоза мусора способом "опорожнения". Контейнер. Количество этажей в здании от 10 до 13. Местонахождение в цокольном этаже.</t>
  </si>
  <si>
    <t>Система вывоза мусора способом "опорожнения". Контейнер. Количество этажей в здании от 10 до 13. Местонахождение в подвале.</t>
  </si>
  <si>
    <t>Система вывоза мусора способом "опорожнения". Бункер. Количество этажей в здании от 10 до 13. Местонахождение на 1 этаже.</t>
  </si>
  <si>
    <t>Система вывоза мусора способом "опорожнения". Бункер. Количество этажей в здании от 10 до 13. Местонахождение в цокольном этаже.</t>
  </si>
  <si>
    <t>Система вывоза мусора способом "опорожнения". Бункер. Количество этажей в здании от 10 до 13. Местонахождение в подвале.</t>
  </si>
  <si>
    <t>Система вывоза мусора способом "опорожнения". Переносной мусоросборник. Количество этажей в здании от 14 до 18. Местонахождение на 1 этаже</t>
  </si>
  <si>
    <t>Система вывоза мусора способом "опорожнения". Переносной мусоросборник. Количество этажей в здании от 14 до 18. Местонахождение в цокольном этаже.</t>
  </si>
  <si>
    <t>Система вывоза мусора способом "опорожнения". Переносной мусоросборник. Количество этажей в здании от 14 до 18. Местонахождение в подвале.</t>
  </si>
  <si>
    <t>Система вывоза мусора способом "опорожнения". Контейнер. Количество этажей в здании от 14 до 18. Местонахождение на 1 этаже.</t>
  </si>
  <si>
    <t>Система вывоза мусора способом "опорожнения". Контейнер. Количество этажей в здании от 14 до 18. Местонахождение в цокольном этаже.</t>
  </si>
  <si>
    <t>Система вывоза мусора способом "опорожнения". Контейнер. Количество этажей в здании от 14 до 18. Местонахождение в подвале.</t>
  </si>
  <si>
    <t>Система вывоза мусора способом "опорожнения". Бункер. Количество этажей в здании от 14 до 18. Местонахождение на 1 этаже.</t>
  </si>
  <si>
    <t>Система вывоза мусора способом "опорожнения". Бункер. Количество этажей в здании от 14 до 18. Местонахождение в цокольном этаже.</t>
  </si>
  <si>
    <t>Система вывоза мусора способом "опорожнения". Бункер. Количество этажей в здании от 14 до 18. Местонахождение в подвале.</t>
  </si>
  <si>
    <t>Система вывоза мусора способом "опорожнения". Переносной мусоросборник. Количество этажей в здании свыше 19. Местонахождение на 1 этаже</t>
  </si>
  <si>
    <t>Система вывоза мусора способом "опорожнения". Переносной мусоросборник. Количество этажей в здании свыше 19. Местонахождение в цокольном этаже.</t>
  </si>
  <si>
    <t>Система вывоза мусора способом "опорожнения". Переносной мусоросборник. Количество этажей в здании свыше 19. Местонахождение в подвале.</t>
  </si>
  <si>
    <t>Система вывоза мусора способом "опорожнения". Контейнер. Количество этажей в здании свыше 19. Местонахождение на 1 этаже.</t>
  </si>
  <si>
    <t>Система вывоза мусора способом "опорожнения". Контейнер. Количество этажей в здании свыше 19. Местонахождение в цокольном этаже.</t>
  </si>
  <si>
    <t>Система вывоза мусора способом "опорожнения". Контейнер. Количество этажей в здании свыше 19. Местонахождение в подвале.</t>
  </si>
  <si>
    <t>Система вывоза мусора способом "опорожнения". Бункер. Количество этажей в здании свыше 19. Местонахождение на 1 этаже.</t>
  </si>
  <si>
    <t>Система вывоза мусора способом "опорожнения". Бункер. Количество этажей в здании свыше 19. Местонахождение в цокольном этаже.</t>
  </si>
  <si>
    <t>Система вывоза мусора способом "опорожнения". Бункер. Количество этажей в здании свыше 19. Местонахождение в подвале.</t>
  </si>
  <si>
    <t>Система вывоза мусора "сменная". Переносной мусоросборник. Здание до 5 этажей. Местонахождение на 1 этаже</t>
  </si>
  <si>
    <t>Система вывоза мусора "сменная". Переносной мусоросборник. Здание до 5 этажей. Местонахождение в цокольном этаже.</t>
  </si>
  <si>
    <t>Система вывоза мусора "сменная". Переносной мусоросборник. Здание до 5 этажей. Местонахождение в подвале.</t>
  </si>
  <si>
    <t>Система вывоза мусора "сменная". Контейнер. Здание до 5 этажей. Местонахождение на 1 этаже.</t>
  </si>
  <si>
    <t>Система вывоза мусора "сменная". Контейнер. Здание до 5 этажей. Местонахождение в цокольном этаже.</t>
  </si>
  <si>
    <t>Система вывоза мусора "сменная". Контейнер. Здание до 5 этажей. Местонахождение в подвале.</t>
  </si>
  <si>
    <t>Система вывоза мусора "сменная". Бункер. Здание до 5 этажей. Местонахождение на 1 этаже.</t>
  </si>
  <si>
    <t>Система вывоза мусора "сменная". Бункер. Здание до 5 этажей. Местонахождение в цокольном этаже.</t>
  </si>
  <si>
    <t>Система вывоза мусора "сменная". Бункер. Здание до 5 этажей. Местонахождение в подвале.</t>
  </si>
  <si>
    <t>Система вывоза мусора "сменная". Переносной мусоросборник. Количество этажей в здании с 6 до 9. Местонахождение на 1 этаже</t>
  </si>
  <si>
    <t>Система вывоза мусора "сменная". Переносной мусоросборник. Количество этажей в здании с 6 до 9. Местонахождение в цокольном этаже.</t>
  </si>
  <si>
    <t>Система вывоза мусора "сменная". Переносной мусоросборник. Количество этажей в здании с 6 до 9. Местонахождение в подвале.</t>
  </si>
  <si>
    <t>Система вывоза мусора "сменная". Контейнер. Количество этажей в здании с 6 до 9. Местонахождение на 1 этаже.</t>
  </si>
  <si>
    <t>Система вывоза мусора "сменная". Контейнер. Количество этажей в здании с 6 до 9. Местонахождение в цокольном этаже.</t>
  </si>
  <si>
    <t>Система вывоза мусора "сменная". Контейнер. Количество этажей в здании с 6 до 9. Местонахождение в подвале.</t>
  </si>
  <si>
    <t>Система вывоза мусора "сменная". Бункер. Количество этажей в здании с 6 до 9. Местонахождение на 1 этаже.</t>
  </si>
  <si>
    <t>Система вывоза мусора "сменная". Бункер. Количество этажей в здании с 6 до 9. Местонахождение в цокольном этаже.</t>
  </si>
  <si>
    <t>Система вывоза мусора "сменная". Бункер. Количество этажей в здании с 6 до 9. Местонахождение в подвале.</t>
  </si>
  <si>
    <t>Система вывоза мусора "сменная". Переносной мусоросборник. Количество этажей в здании от 10 до 13. Местонахождение на 1 этаже</t>
  </si>
  <si>
    <t>Система вывоза мусора "сменная". Переносной мусоросборник. Количество этажей в здании от 10 до 13. Местонахождение в цокольном этаже.</t>
  </si>
  <si>
    <t>Система вывоза мусора "сменная". Переносной мусоросборник. Количество этажей в здании от 10 до 13. Местонахождение в подвале.</t>
  </si>
  <si>
    <t>Система вывоза мусора "сменная". Контейнер. Количество этажей в здании от 10 до 13. Местонахождение на 1 этаже.</t>
  </si>
  <si>
    <t>Система вывоза мусора "сменная". Контейнер. Количество этажей в здании от 10 до 13. Местонахождение в цокольном этаже.</t>
  </si>
  <si>
    <t>Система вывоза мусора "сменная". Контейнер. Количество этажей в здании от 10 до 13. Местонахождение в подвале.</t>
  </si>
  <si>
    <t>Система вывоза мусора "сменная". Бункер. Количество этажей в здании от 10 до 13. Местонахождение на 1 этаже.</t>
  </si>
  <si>
    <t>Система вывоза мусора "сменная". Бункер. Количество этажей в здании от 10 до 13. Местонахождение в цокольном этаже.</t>
  </si>
  <si>
    <t>Система вывоза мусора "сменная". Бункер. Количество этажей в здании от 10 до 13. Местонахождение в подвале.</t>
  </si>
  <si>
    <t>Система вывоза мусора "сменная". Переносной мусоросборник. Количество этажей в здании от 14 до 18. Местонахождение на 1 этаже</t>
  </si>
  <si>
    <t>Система вывоза мусора "сменная". Переносной мусоросборник. Количество этажей в здании от 14 до 18. Местонахождение в цокольном этаже.</t>
  </si>
  <si>
    <t>Система вывоза мусора "сменная". Переносной мусоросборник. Количество этажей в здании от 14 до 18. Местонахождение в подвале.</t>
  </si>
  <si>
    <t>Система вывоза мусора "сменная". Контейнер. Количество этажей в здании от 14 до 18. Местонахождение на 1 этаже.</t>
  </si>
  <si>
    <t>Система вывоза мусора "сменная". Контейнер. Количество этажей в здании от 14 до 18. Местонахождение в цокольном этаже.</t>
  </si>
  <si>
    <t>Система вывоза мусора "сменная". Контейнер. Количество этажей в здании от 14 до 18. Местонахождение в подвале.</t>
  </si>
  <si>
    <t>Система вывоза мусора "сменная". Бункер. Количество этажей в здании от 14 до 18. Местонахождение на 1 этаже.</t>
  </si>
  <si>
    <t>Система вывоза мусора "сменная". Бункер. Количество этажей в здании от 14 до 18. Местонахождение в цокольном этаже.</t>
  </si>
  <si>
    <t>Система вывоза мусора "сменная". Бункер. Количество этажей в здании от 14 до 18. Местонахождение в подвале.</t>
  </si>
  <si>
    <t>Система вывоза мусора "сменная". Переносной мусоросборник. Количество этажей в здании свыше 19. Местонахождение на 1 этаже</t>
  </si>
  <si>
    <t>Система вывоза мусора "сменная". Переносной мусоросборник. Количество этажей в здании свыше 19. Местонахождение в цокольном этаже.</t>
  </si>
  <si>
    <t>Система вывоза мусора "сменная". Переносной мусоросборник. Количество этажей в здании свыше 19. Местонахождение в подвале.</t>
  </si>
  <si>
    <t>Система вывоза мусора "сменная". Контейнер. Количество этажей в здании свыше 19. Местонахождение на 1 этаже.</t>
  </si>
  <si>
    <t>Система вывоза мусора "сменная". Контейнер. Количество этажей в здании свыше 19. Местонахождение в цокольном этаже.</t>
  </si>
  <si>
    <t>Система вывоза мусора "сменная". Контейнер. Количество этажей в здании свыше 19. Местонахождение в подвале.</t>
  </si>
  <si>
    <t>Система вывоза мусора "сменная". Бункер. Количество этажей в здании свыше 19. Местонахождение на 1 этаже.</t>
  </si>
  <si>
    <t>Система вывоза мусора "сменная". Бункер. Количество этажей в здании свыше 19. Местонахождение в цокольном этаже.</t>
  </si>
  <si>
    <t>Система вывоза мусора "сменная". Бункер. Количество этажей в здании свыше 19. Местонахождение в подвале.</t>
  </si>
  <si>
    <t>Костюм х/б (халат)</t>
  </si>
  <si>
    <t>Фартук прорезин</t>
  </si>
  <si>
    <t>Куртка ватная</t>
  </si>
  <si>
    <t>Ботинки кожаные</t>
  </si>
  <si>
    <t>Сапоги кожаные утепленные</t>
  </si>
  <si>
    <t>Очки защитные</t>
  </si>
  <si>
    <t>Респиратор</t>
  </si>
  <si>
    <t xml:space="preserve">Совок </t>
  </si>
  <si>
    <t>Мешковина, м</t>
  </si>
  <si>
    <t>1 рабочий</t>
  </si>
  <si>
    <t>Моющее средство, кг</t>
  </si>
  <si>
    <t xml:space="preserve">Моющее средство 1,5кг/100 шт  на мойку сменных мусоросборников </t>
  </si>
  <si>
    <t>шт.</t>
  </si>
  <si>
    <t>Моющее средство 0,2 кг/10 шт * 1 раз в неделю уборка клапанов мусоропровода</t>
  </si>
  <si>
    <t>Моющее средство 1,5кг/100м ствола * 12 раз в год . Дезинфекция мусоропровода.</t>
  </si>
  <si>
    <t>п.м.</t>
  </si>
  <si>
    <t>Хлорная известь 5,38кг/100м ствола * 12 раз в год. Дезинфекция мусоропровода.</t>
  </si>
  <si>
    <t>Контейнер (мусоросборник)</t>
  </si>
  <si>
    <t>контейнер</t>
  </si>
  <si>
    <t>Прочие расходы по обслуживанию мусоропроводов</t>
  </si>
  <si>
    <t>зп, ч/ч</t>
  </si>
  <si>
    <t>ч/ч</t>
  </si>
  <si>
    <t>Очистка тех.этажей от мусора со сбором его в тару и отноской в установленное место (1 раз в год)</t>
  </si>
  <si>
    <t>м2 пл.тех.эт.</t>
  </si>
  <si>
    <t>Очистка подвала от мусора со сбором его в тару и отноской в установленное место (2 раза в год)</t>
  </si>
  <si>
    <t>Окос территории (2 раза за сезон)</t>
  </si>
  <si>
    <t>леска</t>
  </si>
  <si>
    <t>бензин</t>
  </si>
  <si>
    <t>масло</t>
  </si>
  <si>
    <t>Прочие расходы по прочим работам</t>
  </si>
  <si>
    <t xml:space="preserve">Главный бухгалтер </t>
  </si>
  <si>
    <t>Кузьмина Е.С.</t>
  </si>
  <si>
    <t>экономия/перерасход</t>
  </si>
  <si>
    <t>______________________________________________</t>
  </si>
  <si>
    <t>ул. Московская 28 к.1</t>
  </si>
  <si>
    <t>Жилая площадь</t>
  </si>
  <si>
    <t>Коммерческая площадь</t>
  </si>
  <si>
    <t>Т1 - 1432, Т2 - 1023</t>
  </si>
  <si>
    <t>рабочие по тех.обслуживанию</t>
  </si>
  <si>
    <t>прочие рабочие</t>
  </si>
  <si>
    <t>рабочие по уборке лестничных клеток</t>
  </si>
  <si>
    <t>рабочие по уборке придомовой территории зима</t>
  </si>
  <si>
    <t>рабочие по уборке придомовой территории лето</t>
  </si>
  <si>
    <t>рабочие по обслуживанию мусоропровода</t>
  </si>
  <si>
    <t>ср.месячная за 2011г.</t>
  </si>
  <si>
    <t>тарифы на м2*</t>
  </si>
  <si>
    <t>ЗП+налоги председателя</t>
  </si>
  <si>
    <t>РАСХОДЫ</t>
  </si>
  <si>
    <t>ДОХОДЫ жилая полезная площадь</t>
  </si>
  <si>
    <t>ДОХОДЫ коммерческая площадь (579,9 м2)</t>
  </si>
  <si>
    <t>* тариф разделен с учетом жилой и коммерческой площади в процентном соотношении к общей полезной площади дома</t>
  </si>
  <si>
    <t>ул. Л.Голикова д.4 к.3</t>
  </si>
  <si>
    <t>ОБЩЕЭКСПЛУАТАЦИОННЫЕ РАСХОДЫ</t>
  </si>
  <si>
    <t>пр. А.Корсунова 42 к.2</t>
  </si>
  <si>
    <t>9-ти эт. дом</t>
  </si>
  <si>
    <t>7-эт. дом</t>
  </si>
  <si>
    <t>5-ти эт. дом</t>
  </si>
  <si>
    <t>доля затрат</t>
  </si>
  <si>
    <t>Общая площадь жилых помещений</t>
  </si>
  <si>
    <t>Общая площадь нежилых помещений</t>
  </si>
  <si>
    <t>Уборочная площадь лифтовых кабин</t>
  </si>
  <si>
    <t>нач.</t>
  </si>
  <si>
    <t>кон.</t>
  </si>
  <si>
    <t>мес.</t>
  </si>
  <si>
    <t>ср.мес. Потребление</t>
  </si>
  <si>
    <t>Ввод 1 (00433645) день</t>
  </si>
  <si>
    <t>Ввод 1 (00433645) ночь</t>
  </si>
  <si>
    <t>Ввод 2 (03375085) день</t>
  </si>
  <si>
    <t>Ввод 2 (03375085) ночь</t>
  </si>
  <si>
    <t>АВР лифтов (04429988) день</t>
  </si>
  <si>
    <t>АВР лифтов (04429988) ночь</t>
  </si>
  <si>
    <t>Хоз.нужды (04424028) день</t>
  </si>
  <si>
    <t>Хоз.нужды (04424028) ночь</t>
  </si>
  <si>
    <t>тариф на м5</t>
  </si>
  <si>
    <t>ДОХОДЫ 9-этажный дом</t>
  </si>
  <si>
    <t>ДОХОДЫ 7-этажный дом</t>
  </si>
  <si>
    <t>ДОХОДЫ 5-этажный дом</t>
  </si>
  <si>
    <t xml:space="preserve">Единый налог </t>
  </si>
  <si>
    <t>"___"___________________20___г.</t>
  </si>
  <si>
    <t>ул. Великая, д.21</t>
  </si>
  <si>
    <t>Объем здания (если есть центральное отопление)</t>
  </si>
  <si>
    <t>ул. Московская 82/2</t>
  </si>
  <si>
    <t>Площадь чердака, крыши</t>
  </si>
  <si>
    <t xml:space="preserve">7. Информация о платежах населения за жилищно-коммунальные услуги (за предыдущий квартал) </t>
  </si>
  <si>
    <t>ул. Л.Голикова д.4 к.2</t>
  </si>
  <si>
    <t xml:space="preserve">заработная плата, ч/ч </t>
  </si>
  <si>
    <t>слесарь-сантехник</t>
  </si>
  <si>
    <t>нормы ч/ч</t>
  </si>
  <si>
    <t>показатели по дому в ед. изм.</t>
  </si>
  <si>
    <t xml:space="preserve">Осмотр водопровода, канализации и горячего водоснабжения
 </t>
  </si>
  <si>
    <t>квартира</t>
  </si>
  <si>
    <t xml:space="preserve"> устройства в чердачных и подвальных помещениях</t>
  </si>
  <si>
    <t>м2 осм.пл.</t>
  </si>
  <si>
    <t>ЦО промывка трубопроводов, испытание системы, консервация</t>
  </si>
  <si>
    <t>м3 здания</t>
  </si>
  <si>
    <t>Мусоропровод</t>
  </si>
  <si>
    <t>мусоропровод</t>
  </si>
  <si>
    <t>электромонтер</t>
  </si>
  <si>
    <t xml:space="preserve">Осмотр линий электрических сетей, арматуры и электрооборудования
</t>
  </si>
  <si>
    <t>м2 об.пл.</t>
  </si>
  <si>
    <t xml:space="preserve">щитовая </t>
  </si>
  <si>
    <t>Силовые установки</t>
  </si>
  <si>
    <t>мотор</t>
  </si>
  <si>
    <t>кровельщик</t>
  </si>
  <si>
    <t>Осмотр кровли (6 осмотров в год)</t>
  </si>
  <si>
    <t xml:space="preserve"> м2 кровли</t>
  </si>
  <si>
    <t>Удаление наледи и грязи</t>
  </si>
  <si>
    <t>м2 кровли</t>
  </si>
  <si>
    <t>каменщик-бетонщик</t>
  </si>
  <si>
    <t>Каменные конструкции (2 осмотра в год)</t>
  </si>
  <si>
    <t>штукатур-маляр</t>
  </si>
  <si>
    <t>Внутренняя и наружная отделка стен (2 осмотра в год)</t>
  </si>
  <si>
    <t>плотник</t>
  </si>
  <si>
    <t>Деревянные конструкции, прочие работы (2 осмотра в год)</t>
  </si>
  <si>
    <t>Прочие расходы по тех.обслуживанию</t>
  </si>
  <si>
    <t xml:space="preserve"> зп, расчетная численность</t>
  </si>
  <si>
    <t>количество этажей в здании от 2 до 5, оборудование отсутствует</t>
  </si>
  <si>
    <t>количество этажей в здании от 2 до 5, лифт</t>
  </si>
  <si>
    <t>количество этажей в здании от 2 до 5, мусоропровод</t>
  </si>
  <si>
    <t>количество этажей в здании от 2 до 5, лифт и мусоропровод</t>
  </si>
  <si>
    <t>количество этажей в здании от 6 до 9, лифт</t>
  </si>
  <si>
    <t>количество этажей в здании от 6 до 9, лифт и мусоропровод</t>
  </si>
  <si>
    <t>количество этажей в здании от 10 до 16, лифт и мусоропровод</t>
  </si>
  <si>
    <t>количество этажей в здании от 17 до 21, лифт и мусоропровод</t>
  </si>
  <si>
    <t>Мешковина (Тряпка), м</t>
  </si>
  <si>
    <t>Моющее средство на уборочную площадь л/кл, кг</t>
  </si>
  <si>
    <t>Мешковина (Тряпка) для мытья лифтовых кабин, м</t>
  </si>
  <si>
    <t>Моющее средство на уборочную площадь лифтовых кабин, кг.</t>
  </si>
  <si>
    <t>Мешковина (Тряпка) для мытья стекол, м</t>
  </si>
  <si>
    <t>Синтетический очиститель стекол, л.</t>
  </si>
  <si>
    <t xml:space="preserve">Халат х/б </t>
  </si>
  <si>
    <t>Перчатки х/б комбиниров</t>
  </si>
  <si>
    <t>Тапки кожаные</t>
  </si>
  <si>
    <t>Щетка для мытья окон</t>
  </si>
  <si>
    <t>Совок</t>
  </si>
  <si>
    <t>Швабра</t>
  </si>
  <si>
    <t>Прочие расходы по благоустройству лестничных клеток</t>
  </si>
  <si>
    <t>зп (среднегодовая), расчетная численность</t>
  </si>
  <si>
    <t xml:space="preserve">дворник зима </t>
  </si>
  <si>
    <t xml:space="preserve">нормы </t>
  </si>
  <si>
    <t>АСФАЛЬТ</t>
  </si>
  <si>
    <t>ОТМОСТКА</t>
  </si>
  <si>
    <t>ДЕТСКАЯ ПЛОЩАДКА</t>
  </si>
  <si>
    <t>ГРУНТ</t>
  </si>
  <si>
    <t>дворник лето</t>
  </si>
  <si>
    <t>м4</t>
  </si>
  <si>
    <t>ЗЕЛЕНЫЕ НАСАЖДЕНИЯ</t>
  </si>
  <si>
    <t>м5</t>
  </si>
  <si>
    <t xml:space="preserve">Материалы </t>
  </si>
  <si>
    <t>соле-песчанная смесь с доставкой</t>
  </si>
  <si>
    <t>замена контейнера</t>
  </si>
  <si>
    <t>шт</t>
  </si>
  <si>
    <t>талоны на вывоз ТБО</t>
  </si>
  <si>
    <t>Костюм х/б или костюм</t>
  </si>
  <si>
    <t>Плащ непромокаемый</t>
  </si>
  <si>
    <t>Куртка на утепляющей прокладке</t>
  </si>
  <si>
    <t>Валенки с резиновым низом</t>
  </si>
  <si>
    <t>Метла березовая - зима</t>
  </si>
  <si>
    <t xml:space="preserve">Наметельник  </t>
  </si>
  <si>
    <t>Емкость для смеси песка</t>
  </si>
  <si>
    <t>Лом (ледоруб)</t>
  </si>
  <si>
    <t>Лопата штыковая</t>
  </si>
  <si>
    <t>Лопата совковая</t>
  </si>
  <si>
    <t>Скребок</t>
  </si>
  <si>
    <t>Тележка</t>
  </si>
  <si>
    <t>Сито строительное</t>
  </si>
  <si>
    <t>Грабли</t>
  </si>
  <si>
    <t>Метла березовая лето</t>
  </si>
  <si>
    <t>Мешки п/этил 20 л</t>
  </si>
  <si>
    <t>Прочие расходы по благоустройству придом.территории</t>
  </si>
  <si>
    <t>Административно-хозяйственные расходы</t>
  </si>
  <si>
    <t>Расходы по обслуживанию работников производства</t>
  </si>
  <si>
    <t>Расходы по организации работ</t>
  </si>
  <si>
    <t>Прочие общеэксплуатационные расходы</t>
  </si>
  <si>
    <r>
      <t xml:space="preserve">Контактные телефон/факс: </t>
    </r>
    <r>
      <rPr>
        <b/>
        <sz val="12"/>
        <rFont val="Times New Roman"/>
        <family val="1"/>
      </rPr>
      <t>67-94-77, 66-41-87</t>
    </r>
  </si>
  <si>
    <t>7.</t>
  </si>
  <si>
    <t>пр. А. Корсунова д.42 к.2</t>
  </si>
  <si>
    <t>б. Лени Голикова д. 4 к.3</t>
  </si>
  <si>
    <t>ул. Пестовская д. 6, к.1</t>
  </si>
  <si>
    <t>ул. Московская д. 28 к.1</t>
  </si>
  <si>
    <t>ул. Великая д. 21</t>
  </si>
  <si>
    <t>б. Лени Голикова д.4 к.2</t>
  </si>
  <si>
    <t>ул. Б. Московская д. 82/2</t>
  </si>
  <si>
    <t>5</t>
  </si>
  <si>
    <t xml:space="preserve">8. </t>
  </si>
  <si>
    <t>9.</t>
  </si>
  <si>
    <t>10.</t>
  </si>
  <si>
    <t>ул. Морозовская д.6</t>
  </si>
  <si>
    <t>ул. Хутынская д.6</t>
  </si>
  <si>
    <t>11.</t>
  </si>
  <si>
    <t>ул. Связи д.5</t>
  </si>
  <si>
    <t>ул. Народная д.9</t>
  </si>
  <si>
    <t>12.</t>
  </si>
  <si>
    <t>ул. Студенческая д.5 к.1</t>
  </si>
  <si>
    <t>Дата предоставления информации «09» декабря 2011г.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</si>
</sst>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000"/>
    <numFmt numFmtId="170" formatCode="#,##0.00_р_."/>
    <numFmt numFmtId="171" formatCode="dd/mm/yy;@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b/>
      <i/>
      <u val="single"/>
      <sz val="9"/>
      <name val="Times New Roman"/>
      <family val="1"/>
    </font>
    <font>
      <i/>
      <u val="single"/>
      <sz val="9"/>
      <name val="Times New Roman"/>
      <family val="1"/>
    </font>
    <font>
      <b/>
      <u val="single"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7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/>
    </xf>
    <xf numFmtId="0" fontId="13" fillId="0" borderId="2" xfId="0" applyFont="1" applyBorder="1" applyAlignment="1">
      <alignment/>
    </xf>
    <xf numFmtId="0" fontId="16" fillId="0" borderId="6" xfId="0" applyFont="1" applyBorder="1" applyAlignment="1">
      <alignment/>
    </xf>
    <xf numFmtId="0" fontId="2" fillId="0" borderId="7" xfId="0" applyFont="1" applyBorder="1" applyAlignment="1">
      <alignment horizontal="center" wrapText="1"/>
    </xf>
    <xf numFmtId="9" fontId="1" fillId="0" borderId="2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11" fillId="0" borderId="2" xfId="15" applyBorder="1" applyAlignment="1">
      <alignment vertical="top" wrapText="1"/>
    </xf>
    <xf numFmtId="0" fontId="2" fillId="0" borderId="0" xfId="0" applyFont="1" applyAlignment="1">
      <alignment horizontal="right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3" fillId="0" borderId="0" xfId="0" applyFont="1" applyAlignment="1">
      <alignment wrapText="1"/>
    </xf>
    <xf numFmtId="0" fontId="17" fillId="2" borderId="8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7" fillId="2" borderId="1" xfId="0" applyFont="1" applyFill="1" applyBorder="1" applyAlignment="1">
      <alignment horizontal="center"/>
    </xf>
    <xf numFmtId="0" fontId="16" fillId="0" borderId="4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16" fillId="2" borderId="2" xfId="0" applyFont="1" applyFill="1" applyBorder="1" applyAlignment="1">
      <alignment horizontal="right"/>
    </xf>
    <xf numFmtId="0" fontId="17" fillId="0" borderId="9" xfId="0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17" fillId="2" borderId="2" xfId="0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7" xfId="0" applyFont="1" applyBorder="1" applyAlignment="1">
      <alignment/>
    </xf>
    <xf numFmtId="0" fontId="16" fillId="0" borderId="0" xfId="0" applyFont="1" applyAlignment="1">
      <alignment wrapText="1"/>
    </xf>
    <xf numFmtId="0" fontId="13" fillId="0" borderId="6" xfId="0" applyFont="1" applyBorder="1" applyAlignment="1">
      <alignment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7" fillId="0" borderId="2" xfId="0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right"/>
    </xf>
    <xf numFmtId="0" fontId="16" fillId="0" borderId="10" xfId="0" applyFont="1" applyBorder="1" applyAlignment="1">
      <alignment/>
    </xf>
    <xf numFmtId="0" fontId="16" fillId="0" borderId="5" xfId="0" applyFont="1" applyBorder="1" applyAlignment="1">
      <alignment horizontal="center"/>
    </xf>
    <xf numFmtId="0" fontId="17" fillId="2" borderId="1" xfId="0" applyFont="1" applyFill="1" applyBorder="1" applyAlignment="1">
      <alignment horizontal="right"/>
    </xf>
    <xf numFmtId="0" fontId="17" fillId="0" borderId="9" xfId="0" applyFont="1" applyBorder="1" applyAlignment="1">
      <alignment/>
    </xf>
    <xf numFmtId="0" fontId="17" fillId="0" borderId="4" xfId="0" applyFont="1" applyBorder="1" applyAlignment="1">
      <alignment horizontal="center" vertical="top"/>
    </xf>
    <xf numFmtId="0" fontId="13" fillId="0" borderId="7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2" borderId="11" xfId="0" applyFont="1" applyFill="1" applyBorder="1" applyAlignment="1">
      <alignment horizontal="right"/>
    </xf>
    <xf numFmtId="0" fontId="16" fillId="0" borderId="5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168" fontId="21" fillId="0" borderId="0" xfId="0" applyNumberFormat="1" applyFont="1" applyFill="1" applyBorder="1" applyAlignment="1">
      <alignment horizontal="center" vertical="top" wrapText="1"/>
    </xf>
    <xf numFmtId="168" fontId="23" fillId="0" borderId="7" xfId="0" applyNumberFormat="1" applyFont="1" applyBorder="1" applyAlignment="1">
      <alignment horizontal="center"/>
    </xf>
    <xf numFmtId="168" fontId="23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8" fontId="22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1" fillId="0" borderId="0" xfId="0" applyFont="1" applyBorder="1" applyAlignment="1">
      <alignment horizontal="center" vertical="distributed"/>
    </xf>
    <xf numFmtId="2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left" vertical="distributed"/>
    </xf>
    <xf numFmtId="0" fontId="22" fillId="0" borderId="13" xfId="0" applyFont="1" applyBorder="1" applyAlignment="1">
      <alignment horizontal="left" vertical="distributed"/>
    </xf>
    <xf numFmtId="0" fontId="22" fillId="0" borderId="13" xfId="0" applyFont="1" applyBorder="1" applyAlignment="1">
      <alignment horizontal="left"/>
    </xf>
    <xf numFmtId="168" fontId="22" fillId="0" borderId="13" xfId="0" applyNumberFormat="1" applyFont="1" applyBorder="1" applyAlignment="1">
      <alignment horizontal="left"/>
    </xf>
    <xf numFmtId="168" fontId="22" fillId="0" borderId="4" xfId="0" applyNumberFormat="1" applyFont="1" applyBorder="1" applyAlignment="1">
      <alignment horizontal="left"/>
    </xf>
    <xf numFmtId="0" fontId="22" fillId="0" borderId="6" xfId="0" applyFont="1" applyBorder="1" applyAlignment="1">
      <alignment horizontal="left" vertical="distributed"/>
    </xf>
    <xf numFmtId="0" fontId="22" fillId="0" borderId="0" xfId="0" applyFont="1" applyBorder="1" applyAlignment="1">
      <alignment horizontal="left" vertical="distributed"/>
    </xf>
    <xf numFmtId="0" fontId="22" fillId="0" borderId="0" xfId="0" applyFont="1" applyBorder="1" applyAlignment="1">
      <alignment horizontal="left"/>
    </xf>
    <xf numFmtId="168" fontId="22" fillId="0" borderId="0" xfId="0" applyNumberFormat="1" applyFont="1" applyBorder="1" applyAlignment="1">
      <alignment horizontal="left"/>
    </xf>
    <xf numFmtId="168" fontId="22" fillId="0" borderId="7" xfId="0" applyNumberFormat="1" applyFont="1" applyBorder="1" applyAlignment="1">
      <alignment horizontal="left"/>
    </xf>
    <xf numFmtId="0" fontId="22" fillId="0" borderId="5" xfId="0" applyFont="1" applyBorder="1" applyAlignment="1">
      <alignment horizontal="left" vertical="distributed"/>
    </xf>
    <xf numFmtId="0" fontId="22" fillId="0" borderId="9" xfId="0" applyFont="1" applyBorder="1" applyAlignment="1">
      <alignment horizontal="left" vertical="distributed"/>
    </xf>
    <xf numFmtId="0" fontId="22" fillId="0" borderId="9" xfId="0" applyFont="1" applyBorder="1" applyAlignment="1">
      <alignment horizontal="left"/>
    </xf>
    <xf numFmtId="168" fontId="22" fillId="0" borderId="9" xfId="0" applyNumberFormat="1" applyFont="1" applyBorder="1" applyAlignment="1">
      <alignment horizontal="left"/>
    </xf>
    <xf numFmtId="168" fontId="22" fillId="0" borderId="2" xfId="0" applyNumberFormat="1" applyFont="1" applyBorder="1" applyAlignment="1">
      <alignment horizontal="left"/>
    </xf>
    <xf numFmtId="0" fontId="25" fillId="0" borderId="0" xfId="0" applyFont="1" applyBorder="1" applyAlignment="1">
      <alignment/>
    </xf>
    <xf numFmtId="0" fontId="2" fillId="0" borderId="14" xfId="0" applyFont="1" applyBorder="1" applyAlignment="1">
      <alignment horizontal="center" vertical="distributed"/>
    </xf>
    <xf numFmtId="2" fontId="2" fillId="0" borderId="15" xfId="0" applyNumberFormat="1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168" fontId="2" fillId="0" borderId="15" xfId="0" applyNumberFormat="1" applyFont="1" applyBorder="1" applyAlignment="1">
      <alignment horizontal="center" vertical="distributed"/>
    </xf>
    <xf numFmtId="168" fontId="2" fillId="0" borderId="11" xfId="0" applyNumberFormat="1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22" fillId="0" borderId="12" xfId="0" applyFont="1" applyBorder="1" applyAlignment="1">
      <alignment horizontal="right"/>
    </xf>
    <xf numFmtId="2" fontId="1" fillId="0" borderId="13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0" fontId="26" fillId="0" borderId="6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justify" vertical="top"/>
    </xf>
    <xf numFmtId="0" fontId="26" fillId="0" borderId="6" xfId="0" applyFont="1" applyBorder="1" applyAlignment="1">
      <alignment horizontal="right" vertical="top"/>
    </xf>
    <xf numFmtId="0" fontId="24" fillId="0" borderId="0" xfId="0" applyFont="1" applyBorder="1" applyAlignment="1">
      <alignment/>
    </xf>
    <xf numFmtId="0" fontId="22" fillId="0" borderId="6" xfId="0" applyFont="1" applyBorder="1" applyAlignment="1">
      <alignment horizontal="right"/>
    </xf>
    <xf numFmtId="10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168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68" fontId="27" fillId="0" borderId="7" xfId="0" applyNumberFormat="1" applyFont="1" applyBorder="1" applyAlignment="1">
      <alignment horizontal="center"/>
    </xf>
    <xf numFmtId="0" fontId="22" fillId="0" borderId="5" xfId="0" applyFont="1" applyBorder="1" applyAlignment="1">
      <alignment horizontal="right"/>
    </xf>
    <xf numFmtId="2" fontId="1" fillId="0" borderId="9" xfId="0" applyNumberFormat="1" applyFont="1" applyBorder="1" applyAlignment="1">
      <alignment horizontal="center"/>
    </xf>
    <xf numFmtId="168" fontId="1" fillId="0" borderId="9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168" fontId="26" fillId="0" borderId="0" xfId="0" applyNumberFormat="1" applyFont="1" applyBorder="1" applyAlignment="1">
      <alignment horizontal="center"/>
    </xf>
    <xf numFmtId="168" fontId="26" fillId="0" borderId="7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26" fillId="0" borderId="6" xfId="0" applyFont="1" applyBorder="1" applyAlignment="1">
      <alignment horizontal="right"/>
    </xf>
    <xf numFmtId="170" fontId="24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169" fontId="26" fillId="0" borderId="0" xfId="0" applyNumberFormat="1" applyFont="1" applyBorder="1" applyAlignment="1">
      <alignment horizontal="center" vertical="top"/>
    </xf>
    <xf numFmtId="2" fontId="26" fillId="0" borderId="0" xfId="0" applyNumberFormat="1" applyFont="1" applyBorder="1" applyAlignment="1">
      <alignment horizontal="center" vertical="top"/>
    </xf>
    <xf numFmtId="168" fontId="26" fillId="0" borderId="0" xfId="0" applyNumberFormat="1" applyFont="1" applyBorder="1" applyAlignment="1">
      <alignment horizontal="center" vertical="top"/>
    </xf>
    <xf numFmtId="168" fontId="26" fillId="0" borderId="0" xfId="0" applyNumberFormat="1" applyFont="1" applyBorder="1" applyAlignment="1">
      <alignment horizontal="center" vertical="top" wrapText="1"/>
    </xf>
    <xf numFmtId="170" fontId="26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27" fillId="0" borderId="6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/>
    </xf>
    <xf numFmtId="170" fontId="1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vertical="top" wrapText="1"/>
    </xf>
    <xf numFmtId="2" fontId="26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70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distributed"/>
    </xf>
    <xf numFmtId="170" fontId="1" fillId="0" borderId="13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7" fillId="0" borderId="7" xfId="0" applyFont="1" applyBorder="1" applyAlignment="1">
      <alignment/>
    </xf>
    <xf numFmtId="169" fontId="26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distributed"/>
    </xf>
    <xf numFmtId="2" fontId="2" fillId="0" borderId="9" xfId="0" applyNumberFormat="1" applyFont="1" applyBorder="1" applyAlignment="1">
      <alignment horizontal="center" vertical="distributed"/>
    </xf>
    <xf numFmtId="0" fontId="2" fillId="0" borderId="9" xfId="0" applyFont="1" applyBorder="1" applyAlignment="1">
      <alignment horizontal="center" vertical="distributed"/>
    </xf>
    <xf numFmtId="168" fontId="2" fillId="0" borderId="9" xfId="0" applyNumberFormat="1" applyFont="1" applyBorder="1" applyAlignment="1">
      <alignment horizontal="center" vertical="distributed"/>
    </xf>
    <xf numFmtId="168" fontId="2" fillId="0" borderId="2" xfId="0" applyNumberFormat="1" applyFont="1" applyBorder="1" applyAlignment="1">
      <alignment horizontal="center" vertical="distributed"/>
    </xf>
    <xf numFmtId="2" fontId="1" fillId="0" borderId="15" xfId="0" applyNumberFormat="1" applyFont="1" applyBorder="1" applyAlignment="1">
      <alignment horizontal="center" vertical="distributed"/>
    </xf>
    <xf numFmtId="0" fontId="1" fillId="0" borderId="15" xfId="0" applyFont="1" applyBorder="1" applyAlignment="1">
      <alignment horizontal="center" vertical="distributed"/>
    </xf>
    <xf numFmtId="170" fontId="2" fillId="0" borderId="15" xfId="0" applyNumberFormat="1" applyFont="1" applyBorder="1" applyAlignment="1">
      <alignment horizontal="center" vertical="distributed"/>
    </xf>
    <xf numFmtId="0" fontId="1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168" fontId="2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8" fontId="2" fillId="0" borderId="16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1" fillId="0" borderId="9" xfId="0" applyFont="1" applyBorder="1" applyAlignment="1">
      <alignment vertical="distributed"/>
    </xf>
    <xf numFmtId="0" fontId="22" fillId="0" borderId="12" xfId="0" applyFont="1" applyFill="1" applyBorder="1" applyAlignment="1">
      <alignment horizontal="left" vertical="top" wrapText="1"/>
    </xf>
    <xf numFmtId="2" fontId="22" fillId="0" borderId="13" xfId="0" applyNumberFormat="1" applyFont="1" applyBorder="1" applyAlignment="1">
      <alignment horizontal="left"/>
    </xf>
    <xf numFmtId="4" fontId="22" fillId="0" borderId="13" xfId="0" applyNumberFormat="1" applyFont="1" applyBorder="1" applyAlignment="1">
      <alignment horizontal="left"/>
    </xf>
    <xf numFmtId="4" fontId="22" fillId="0" borderId="0" xfId="0" applyNumberFormat="1" applyFont="1" applyBorder="1" applyAlignment="1">
      <alignment horizontal="left"/>
    </xf>
    <xf numFmtId="0" fontId="22" fillId="0" borderId="6" xfId="0" applyFont="1" applyFill="1" applyBorder="1" applyAlignment="1">
      <alignment horizontal="left" vertical="top" wrapText="1"/>
    </xf>
    <xf numFmtId="2" fontId="22" fillId="0" borderId="0" xfId="0" applyNumberFormat="1" applyFont="1" applyBorder="1" applyAlignment="1">
      <alignment horizontal="left"/>
    </xf>
    <xf numFmtId="0" fontId="21" fillId="0" borderId="9" xfId="0" applyFont="1" applyFill="1" applyBorder="1" applyAlignment="1">
      <alignment horizontal="center" vertical="top" wrapText="1"/>
    </xf>
    <xf numFmtId="10" fontId="21" fillId="0" borderId="9" xfId="0" applyNumberFormat="1" applyFont="1" applyFill="1" applyBorder="1" applyAlignment="1">
      <alignment horizontal="center" vertical="top" wrapText="1"/>
    </xf>
    <xf numFmtId="10" fontId="21" fillId="0" borderId="2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distributed"/>
    </xf>
    <xf numFmtId="2" fontId="2" fillId="0" borderId="0" xfId="0" applyNumberFormat="1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168" fontId="2" fillId="0" borderId="0" xfId="0" applyNumberFormat="1" applyFont="1" applyBorder="1" applyAlignment="1">
      <alignment horizontal="center" vertical="distributed"/>
    </xf>
    <xf numFmtId="168" fontId="2" fillId="0" borderId="7" xfId="0" applyNumberFormat="1" applyFont="1" applyBorder="1" applyAlignment="1">
      <alignment horizontal="center" vertical="distributed"/>
    </xf>
    <xf numFmtId="2" fontId="22" fillId="0" borderId="13" xfId="0" applyNumberFormat="1" applyFont="1" applyBorder="1" applyAlignment="1">
      <alignment horizontal="center"/>
    </xf>
    <xf numFmtId="168" fontId="22" fillId="0" borderId="13" xfId="0" applyNumberFormat="1" applyFont="1" applyBorder="1" applyAlignment="1">
      <alignment horizontal="center"/>
    </xf>
    <xf numFmtId="168" fontId="22" fillId="0" borderId="4" xfId="0" applyNumberFormat="1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2" fontId="22" fillId="0" borderId="9" xfId="0" applyNumberFormat="1" applyFont="1" applyBorder="1" applyAlignment="1">
      <alignment horizontal="center"/>
    </xf>
    <xf numFmtId="168" fontId="22" fillId="0" borderId="9" xfId="0" applyNumberFormat="1" applyFont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170" fontId="22" fillId="0" borderId="0" xfId="0" applyNumberFormat="1" applyFont="1" applyBorder="1" applyAlignment="1">
      <alignment horizontal="center"/>
    </xf>
    <xf numFmtId="0" fontId="24" fillId="0" borderId="6" xfId="0" applyFont="1" applyBorder="1" applyAlignment="1">
      <alignment horizontal="right"/>
    </xf>
    <xf numFmtId="168" fontId="24" fillId="0" borderId="7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70" fontId="22" fillId="0" borderId="13" xfId="0" applyNumberFormat="1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70" fontId="22" fillId="0" borderId="9" xfId="0" applyNumberFormat="1" applyFont="1" applyBorder="1" applyAlignment="1">
      <alignment horizontal="center"/>
    </xf>
    <xf numFmtId="0" fontId="22" fillId="0" borderId="12" xfId="0" applyFont="1" applyBorder="1" applyAlignment="1">
      <alignment horizontal="right" vertical="distributed"/>
    </xf>
    <xf numFmtId="2" fontId="22" fillId="0" borderId="13" xfId="0" applyNumberFormat="1" applyFont="1" applyBorder="1" applyAlignment="1">
      <alignment horizontal="center" vertical="distributed"/>
    </xf>
    <xf numFmtId="0" fontId="22" fillId="0" borderId="13" xfId="0" applyFont="1" applyBorder="1" applyAlignment="1">
      <alignment horizontal="center" vertical="distributed"/>
    </xf>
    <xf numFmtId="168" fontId="22" fillId="0" borderId="13" xfId="0" applyNumberFormat="1" applyFont="1" applyBorder="1" applyAlignment="1">
      <alignment horizontal="center" vertical="distributed"/>
    </xf>
    <xf numFmtId="168" fontId="22" fillId="0" borderId="4" xfId="0" applyNumberFormat="1" applyFont="1" applyBorder="1" applyAlignment="1">
      <alignment horizontal="center" vertical="distributed"/>
    </xf>
    <xf numFmtId="0" fontId="22" fillId="0" borderId="6" xfId="0" applyFont="1" applyBorder="1" applyAlignment="1">
      <alignment horizontal="right" vertical="distributed"/>
    </xf>
    <xf numFmtId="2" fontId="22" fillId="0" borderId="0" xfId="0" applyNumberFormat="1" applyFont="1" applyBorder="1" applyAlignment="1">
      <alignment horizontal="center" vertical="distributed"/>
    </xf>
    <xf numFmtId="0" fontId="22" fillId="0" borderId="0" xfId="0" applyFont="1" applyBorder="1" applyAlignment="1">
      <alignment horizontal="center" vertical="distributed"/>
    </xf>
    <xf numFmtId="168" fontId="22" fillId="0" borderId="0" xfId="0" applyNumberFormat="1" applyFont="1" applyBorder="1" applyAlignment="1">
      <alignment horizontal="center" vertical="distributed"/>
    </xf>
    <xf numFmtId="168" fontId="22" fillId="0" borderId="7" xfId="0" applyNumberFormat="1" applyFont="1" applyBorder="1" applyAlignment="1">
      <alignment horizontal="center" vertical="distributed"/>
    </xf>
    <xf numFmtId="0" fontId="22" fillId="0" borderId="12" xfId="0" applyFont="1" applyBorder="1" applyAlignment="1">
      <alignment horizontal="center" vertical="distributed"/>
    </xf>
    <xf numFmtId="0" fontId="22" fillId="0" borderId="6" xfId="0" applyFont="1" applyBorder="1" applyAlignment="1">
      <alignment horizontal="center" vertical="distributed"/>
    </xf>
    <xf numFmtId="0" fontId="22" fillId="0" borderId="5" xfId="0" applyFont="1" applyBorder="1" applyAlignment="1">
      <alignment horizontal="center" vertical="distributed"/>
    </xf>
    <xf numFmtId="2" fontId="22" fillId="0" borderId="9" xfId="0" applyNumberFormat="1" applyFont="1" applyBorder="1" applyAlignment="1">
      <alignment horizontal="center" vertical="distributed"/>
    </xf>
    <xf numFmtId="0" fontId="22" fillId="0" borderId="9" xfId="0" applyFont="1" applyBorder="1" applyAlignment="1">
      <alignment horizontal="center" vertical="distributed"/>
    </xf>
    <xf numFmtId="168" fontId="22" fillId="0" borderId="9" xfId="0" applyNumberFormat="1" applyFont="1" applyBorder="1" applyAlignment="1">
      <alignment horizontal="center" vertical="distributed"/>
    </xf>
    <xf numFmtId="168" fontId="22" fillId="0" borderId="2" xfId="0" applyNumberFormat="1" applyFont="1" applyBorder="1" applyAlignment="1">
      <alignment horizontal="center" vertical="distributed"/>
    </xf>
    <xf numFmtId="168" fontId="2" fillId="0" borderId="5" xfId="0" applyNumberFormat="1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0" xfId="0" applyFont="1" applyBorder="1" applyAlignment="1">
      <alignment horizontal="right" vertical="distributed"/>
    </xf>
    <xf numFmtId="168" fontId="24" fillId="0" borderId="16" xfId="0" applyNumberFormat="1" applyFont="1" applyBorder="1" applyAlignment="1">
      <alignment horizontal="center"/>
    </xf>
    <xf numFmtId="171" fontId="2" fillId="0" borderId="0" xfId="0" applyNumberFormat="1" applyFont="1" applyBorder="1" applyAlignment="1">
      <alignment horizontal="center"/>
    </xf>
    <xf numFmtId="4" fontId="22" fillId="0" borderId="4" xfId="0" applyNumberFormat="1" applyFont="1" applyBorder="1" applyAlignment="1">
      <alignment horizontal="left"/>
    </xf>
    <xf numFmtId="4" fontId="22" fillId="0" borderId="7" xfId="0" applyNumberFormat="1" applyFont="1" applyBorder="1" applyAlignment="1">
      <alignment horizontal="left"/>
    </xf>
    <xf numFmtId="0" fontId="22" fillId="0" borderId="5" xfId="0" applyFont="1" applyFill="1" applyBorder="1" applyAlignment="1">
      <alignment horizontal="left" vertical="top" wrapText="1"/>
    </xf>
    <xf numFmtId="2" fontId="22" fillId="0" borderId="9" xfId="0" applyNumberFormat="1" applyFont="1" applyBorder="1" applyAlignment="1">
      <alignment horizontal="left"/>
    </xf>
    <xf numFmtId="4" fontId="22" fillId="0" borderId="2" xfId="0" applyNumberFormat="1" applyFont="1" applyBorder="1" applyAlignment="1">
      <alignment horizontal="left"/>
    </xf>
    <xf numFmtId="168" fontId="23" fillId="0" borderId="4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distributed"/>
    </xf>
    <xf numFmtId="2" fontId="2" fillId="0" borderId="13" xfId="0" applyNumberFormat="1" applyFont="1" applyBorder="1" applyAlignment="1">
      <alignment horizontal="center" vertical="distributed"/>
    </xf>
    <xf numFmtId="168" fontId="2" fillId="0" borderId="13" xfId="0" applyNumberFormat="1" applyFont="1" applyBorder="1" applyAlignment="1">
      <alignment horizontal="center" vertical="distributed"/>
    </xf>
    <xf numFmtId="168" fontId="2" fillId="0" borderId="4" xfId="0" applyNumberFormat="1" applyFont="1" applyBorder="1" applyAlignment="1">
      <alignment horizontal="center" vertical="distributed"/>
    </xf>
    <xf numFmtId="168" fontId="1" fillId="0" borderId="4" xfId="0" applyNumberFormat="1" applyFont="1" applyBorder="1" applyAlignment="1">
      <alignment horizontal="center" vertical="distributed"/>
    </xf>
    <xf numFmtId="168" fontId="1" fillId="0" borderId="7" xfId="0" applyNumberFormat="1" applyFont="1" applyBorder="1" applyAlignment="1">
      <alignment horizontal="center" vertical="distributed"/>
    </xf>
    <xf numFmtId="168" fontId="1" fillId="0" borderId="2" xfId="0" applyNumberFormat="1" applyFont="1" applyBorder="1" applyAlignment="1">
      <alignment horizontal="center" vertical="distributed"/>
    </xf>
    <xf numFmtId="0" fontId="24" fillId="0" borderId="0" xfId="0" applyFont="1" applyBorder="1" applyAlignment="1">
      <alignment horizontal="right"/>
    </xf>
    <xf numFmtId="168" fontId="1" fillId="0" borderId="13" xfId="0" applyNumberFormat="1" applyFont="1" applyBorder="1" applyAlignment="1">
      <alignment horizontal="center" vertical="distributed"/>
    </xf>
    <xf numFmtId="168" fontId="1" fillId="0" borderId="0" xfId="0" applyNumberFormat="1" applyFont="1" applyBorder="1" applyAlignment="1">
      <alignment horizontal="center" vertical="distributed"/>
    </xf>
    <xf numFmtId="0" fontId="1" fillId="0" borderId="13" xfId="0" applyFont="1" applyBorder="1" applyAlignment="1">
      <alignment/>
    </xf>
    <xf numFmtId="10" fontId="1" fillId="0" borderId="13" xfId="0" applyNumberFormat="1" applyFont="1" applyBorder="1" applyAlignment="1">
      <alignment/>
    </xf>
    <xf numFmtId="0" fontId="21" fillId="0" borderId="5" xfId="0" applyFont="1" applyBorder="1" applyAlignment="1">
      <alignment vertical="distributed"/>
    </xf>
    <xf numFmtId="10" fontId="1" fillId="0" borderId="0" xfId="0" applyNumberFormat="1" applyFont="1" applyBorder="1" applyAlignment="1">
      <alignment/>
    </xf>
    <xf numFmtId="1" fontId="22" fillId="0" borderId="0" xfId="0" applyNumberFormat="1" applyFont="1" applyBorder="1" applyAlignment="1">
      <alignment horizontal="left" vertical="distributed"/>
    </xf>
    <xf numFmtId="1" fontId="22" fillId="0" borderId="9" xfId="0" applyNumberFormat="1" applyFont="1" applyBorder="1" applyAlignment="1">
      <alignment horizontal="left" vertical="distributed"/>
    </xf>
    <xf numFmtId="10" fontId="21" fillId="0" borderId="0" xfId="0" applyNumberFormat="1" applyFont="1" applyFill="1" applyBorder="1" applyAlignment="1">
      <alignment horizontal="center" vertical="top" wrapText="1"/>
    </xf>
    <xf numFmtId="10" fontId="2" fillId="0" borderId="15" xfId="0" applyNumberFormat="1" applyFont="1" applyBorder="1" applyAlignment="1">
      <alignment horizontal="center" vertical="distributed"/>
    </xf>
    <xf numFmtId="10" fontId="1" fillId="0" borderId="0" xfId="0" applyNumberFormat="1" applyFont="1" applyBorder="1" applyAlignment="1">
      <alignment horizontal="center" vertical="distributed"/>
    </xf>
    <xf numFmtId="168" fontId="1" fillId="0" borderId="9" xfId="0" applyNumberFormat="1" applyFont="1" applyBorder="1" applyAlignment="1">
      <alignment horizontal="center" vertical="distributed"/>
    </xf>
    <xf numFmtId="10" fontId="1" fillId="0" borderId="9" xfId="0" applyNumberFormat="1" applyFont="1" applyBorder="1" applyAlignment="1">
      <alignment horizontal="center" vertical="distributed"/>
    </xf>
    <xf numFmtId="168" fontId="28" fillId="0" borderId="7" xfId="0" applyNumberFormat="1" applyFont="1" applyBorder="1" applyAlignment="1">
      <alignment horizontal="center" vertical="distributed"/>
    </xf>
    <xf numFmtId="10" fontId="28" fillId="0" borderId="7" xfId="0" applyNumberFormat="1" applyFont="1" applyBorder="1" applyAlignment="1">
      <alignment horizontal="center" vertical="distributed"/>
    </xf>
    <xf numFmtId="10" fontId="2" fillId="0" borderId="9" xfId="0" applyNumberFormat="1" applyFont="1" applyBorder="1" applyAlignment="1">
      <alignment horizontal="center" vertical="distributed"/>
    </xf>
    <xf numFmtId="10" fontId="2" fillId="0" borderId="0" xfId="0" applyNumberFormat="1" applyFont="1" applyBorder="1" applyAlignment="1">
      <alignment horizontal="center" vertical="distributed"/>
    </xf>
    <xf numFmtId="10" fontId="24" fillId="0" borderId="0" xfId="0" applyNumberFormat="1" applyFont="1" applyBorder="1" applyAlignment="1">
      <alignment/>
    </xf>
    <xf numFmtId="0" fontId="29" fillId="0" borderId="6" xfId="0" applyFont="1" applyBorder="1" applyAlignment="1">
      <alignment horizontal="right" vertical="top" wrapText="1"/>
    </xf>
    <xf numFmtId="0" fontId="29" fillId="0" borderId="0" xfId="0" applyFont="1" applyBorder="1" applyAlignment="1">
      <alignment horizontal="right" vertical="top" wrapText="1"/>
    </xf>
    <xf numFmtId="2" fontId="29" fillId="0" borderId="0" xfId="0" applyNumberFormat="1" applyFont="1" applyBorder="1" applyAlignment="1">
      <alignment horizontal="right" vertical="top" wrapText="1"/>
    </xf>
    <xf numFmtId="168" fontId="29" fillId="0" borderId="0" xfId="0" applyNumberFormat="1" applyFont="1" applyBorder="1" applyAlignment="1">
      <alignment horizontal="right" vertical="top"/>
    </xf>
    <xf numFmtId="0" fontId="26" fillId="0" borderId="6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center"/>
    </xf>
    <xf numFmtId="2" fontId="26" fillId="0" borderId="0" xfId="0" applyNumberFormat="1" applyFont="1" applyFill="1" applyBorder="1" applyAlignment="1">
      <alignment horizontal="right" vertical="center"/>
    </xf>
    <xf numFmtId="168" fontId="26" fillId="0" borderId="0" xfId="0" applyNumberFormat="1" applyFont="1" applyFill="1" applyBorder="1" applyAlignment="1">
      <alignment horizontal="right" vertical="top"/>
    </xf>
    <xf numFmtId="168" fontId="26" fillId="0" borderId="0" xfId="0" applyNumberFormat="1" applyFont="1" applyBorder="1" applyAlignment="1">
      <alignment horizontal="right"/>
    </xf>
    <xf numFmtId="0" fontId="26" fillId="0" borderId="6" xfId="0" applyFont="1" applyFill="1" applyBorder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2" fontId="26" fillId="0" borderId="0" xfId="0" applyNumberFormat="1" applyFont="1" applyBorder="1" applyAlignment="1">
      <alignment horizontal="right" vertical="top"/>
    </xf>
    <xf numFmtId="168" fontId="26" fillId="0" borderId="0" xfId="0" applyNumberFormat="1" applyFont="1" applyBorder="1" applyAlignment="1">
      <alignment horizontal="right" vertical="top"/>
    </xf>
    <xf numFmtId="0" fontId="26" fillId="0" borderId="0" xfId="0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/>
    </xf>
    <xf numFmtId="168" fontId="1" fillId="0" borderId="13" xfId="0" applyNumberFormat="1" applyFont="1" applyBorder="1" applyAlignment="1">
      <alignment horizontal="center" vertical="top"/>
    </xf>
    <xf numFmtId="0" fontId="26" fillId="0" borderId="0" xfId="0" applyFont="1" applyBorder="1" applyAlignment="1">
      <alignment horizontal="right"/>
    </xf>
    <xf numFmtId="0" fontId="27" fillId="0" borderId="6" xfId="0" applyFont="1" applyBorder="1" applyAlignment="1">
      <alignment horizontal="right"/>
    </xf>
    <xf numFmtId="169" fontId="27" fillId="0" borderId="0" xfId="0" applyNumberFormat="1" applyFont="1" applyBorder="1" applyAlignment="1">
      <alignment horizontal="center"/>
    </xf>
    <xf numFmtId="170" fontId="27" fillId="0" borderId="0" xfId="0" applyNumberFormat="1" applyFont="1" applyBorder="1" applyAlignment="1">
      <alignment horizontal="center"/>
    </xf>
    <xf numFmtId="0" fontId="27" fillId="0" borderId="6" xfId="0" applyFont="1" applyBorder="1" applyAlignment="1">
      <alignment horizontal="right" vertical="top"/>
    </xf>
    <xf numFmtId="0" fontId="27" fillId="0" borderId="0" xfId="0" applyFont="1" applyBorder="1" applyAlignment="1">
      <alignment horizontal="center" vertical="top"/>
    </xf>
    <xf numFmtId="169" fontId="27" fillId="0" borderId="0" xfId="0" applyNumberFormat="1" applyFont="1" applyBorder="1" applyAlignment="1">
      <alignment horizontal="center" vertical="top"/>
    </xf>
    <xf numFmtId="2" fontId="27" fillId="0" borderId="0" xfId="0" applyNumberFormat="1" applyFont="1" applyBorder="1" applyAlignment="1">
      <alignment horizontal="center" vertical="top"/>
    </xf>
    <xf numFmtId="168" fontId="27" fillId="0" borderId="0" xfId="0" applyNumberFormat="1" applyFont="1" applyBorder="1" applyAlignment="1">
      <alignment horizontal="center" vertical="top" wrapText="1"/>
    </xf>
    <xf numFmtId="168" fontId="27" fillId="0" borderId="0" xfId="0" applyNumberFormat="1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 wrapText="1"/>
    </xf>
    <xf numFmtId="2" fontId="29" fillId="0" borderId="0" xfId="0" applyNumberFormat="1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/>
    </xf>
    <xf numFmtId="168" fontId="29" fillId="0" borderId="0" xfId="0" applyNumberFormat="1" applyFont="1" applyBorder="1" applyAlignment="1">
      <alignment horizontal="center" vertical="top"/>
    </xf>
    <xf numFmtId="0" fontId="26" fillId="0" borderId="6" xfId="0" applyNumberFormat="1" applyFont="1" applyBorder="1" applyAlignment="1">
      <alignment horizontal="right" vertical="top"/>
    </xf>
    <xf numFmtId="0" fontId="30" fillId="0" borderId="0" xfId="0" applyFont="1" applyBorder="1" applyAlignment="1">
      <alignment horizontal="center"/>
    </xf>
    <xf numFmtId="168" fontId="30" fillId="0" borderId="0" xfId="0" applyNumberFormat="1" applyFont="1" applyBorder="1" applyAlignment="1">
      <alignment horizontal="center"/>
    </xf>
    <xf numFmtId="169" fontId="24" fillId="0" borderId="0" xfId="0" applyNumberFormat="1" applyFont="1" applyBorder="1" applyAlignment="1">
      <alignment horizontal="center"/>
    </xf>
    <xf numFmtId="4" fontId="24" fillId="0" borderId="0" xfId="0" applyNumberFormat="1" applyFont="1" applyBorder="1" applyAlignment="1">
      <alignment horizontal="center"/>
    </xf>
    <xf numFmtId="10" fontId="1" fillId="0" borderId="9" xfId="0" applyNumberFormat="1" applyFont="1" applyBorder="1" applyAlignment="1">
      <alignment horizontal="center"/>
    </xf>
    <xf numFmtId="0" fontId="10" fillId="0" borderId="0" xfId="0" applyFont="1" applyBorder="1" applyAlignment="1">
      <alignment horizontal="justify" vertical="top"/>
    </xf>
    <xf numFmtId="0" fontId="24" fillId="0" borderId="0" xfId="0" applyFont="1" applyFill="1" applyBorder="1" applyAlignment="1">
      <alignment horizontal="justify" vertical="top"/>
    </xf>
    <xf numFmtId="0" fontId="31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29" fillId="0" borderId="0" xfId="0" applyFont="1" applyBorder="1" applyAlignment="1">
      <alignment horizontal="justify" vertical="top"/>
    </xf>
    <xf numFmtId="0" fontId="30" fillId="0" borderId="0" xfId="0" applyFont="1" applyBorder="1" applyAlignment="1">
      <alignment/>
    </xf>
    <xf numFmtId="0" fontId="26" fillId="0" borderId="0" xfId="0" applyFont="1" applyAlignment="1">
      <alignment horizontal="justify" vertical="top"/>
    </xf>
    <xf numFmtId="0" fontId="2" fillId="0" borderId="17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49" fontId="1" fillId="0" borderId="17" xfId="0" applyNumberFormat="1" applyFont="1" applyBorder="1" applyAlignment="1">
      <alignment horizontal="right" wrapText="1"/>
    </xf>
    <xf numFmtId="0" fontId="1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6" fillId="0" borderId="2" xfId="0" applyFont="1" applyBorder="1" applyAlignment="1">
      <alignment wrapText="1"/>
    </xf>
    <xf numFmtId="0" fontId="16" fillId="2" borderId="12" xfId="0" applyFont="1" applyFill="1" applyBorder="1" applyAlignment="1">
      <alignment horizontal="right"/>
    </xf>
    <xf numFmtId="0" fontId="16" fillId="2" borderId="4" xfId="0" applyFont="1" applyFill="1" applyBorder="1" applyAlignment="1">
      <alignment horizontal="right"/>
    </xf>
    <xf numFmtId="0" fontId="16" fillId="2" borderId="5" xfId="0" applyFont="1" applyFill="1" applyBorder="1" applyAlignment="1">
      <alignment horizontal="right"/>
    </xf>
    <xf numFmtId="0" fontId="16" fillId="0" borderId="11" xfId="0" applyFont="1" applyBorder="1" applyAlignment="1">
      <alignment wrapText="1"/>
    </xf>
    <xf numFmtId="0" fontId="16" fillId="2" borderId="14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4" xfId="0" applyFont="1" applyFill="1" applyBorder="1" applyAlignment="1">
      <alignment wrapText="1"/>
    </xf>
    <xf numFmtId="0" fontId="16" fillId="2" borderId="11" xfId="0" applyFont="1" applyFill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0" fontId="16" fillId="0" borderId="14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16" fillId="2" borderId="2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/>
    </xf>
    <xf numFmtId="0" fontId="17" fillId="2" borderId="11" xfId="0" applyFont="1" applyFill="1" applyBorder="1" applyAlignment="1">
      <alignment horizontal="right"/>
    </xf>
    <xf numFmtId="0" fontId="17" fillId="0" borderId="12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1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/>
    </xf>
    <xf numFmtId="0" fontId="13" fillId="0" borderId="2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4" xfId="0" applyFont="1" applyBorder="1" applyAlignment="1">
      <alignment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11" xfId="0" applyFont="1" applyBorder="1" applyAlignment="1">
      <alignment/>
    </xf>
    <xf numFmtId="0" fontId="16" fillId="2" borderId="10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right"/>
    </xf>
    <xf numFmtId="0" fontId="16" fillId="0" borderId="1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2" borderId="6" xfId="0" applyFont="1" applyFill="1" applyBorder="1" applyAlignment="1">
      <alignment horizontal="right"/>
    </xf>
    <xf numFmtId="0" fontId="16" fillId="2" borderId="7" xfId="0" applyFont="1" applyFill="1" applyBorder="1" applyAlignment="1">
      <alignment horizontal="right"/>
    </xf>
    <xf numFmtId="0" fontId="20" fillId="0" borderId="12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7" fillId="0" borderId="5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7" fillId="0" borderId="5" xfId="0" applyFont="1" applyBorder="1" applyAlignment="1">
      <alignment/>
    </xf>
    <xf numFmtId="0" fontId="17" fillId="0" borderId="2" xfId="0" applyFont="1" applyBorder="1" applyAlignment="1">
      <alignment/>
    </xf>
    <xf numFmtId="0" fontId="16" fillId="0" borderId="6" xfId="0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16" fillId="0" borderId="0" xfId="0" applyFont="1" applyAlignment="1">
      <alignment/>
    </xf>
    <xf numFmtId="0" fontId="17" fillId="2" borderId="9" xfId="0" applyFont="1" applyFill="1" applyBorder="1" applyAlignment="1">
      <alignment wrapText="1"/>
    </xf>
    <xf numFmtId="0" fontId="18" fillId="0" borderId="1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7" fillId="2" borderId="14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" fillId="0" borderId="3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3" fillId="0" borderId="6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5" xfId="0" applyFont="1" applyBorder="1" applyAlignment="1">
      <alignment horizontal="right"/>
    </xf>
    <xf numFmtId="0" fontId="23" fillId="0" borderId="9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distributed"/>
    </xf>
    <xf numFmtId="0" fontId="21" fillId="0" borderId="9" xfId="0" applyFont="1" applyFill="1" applyBorder="1" applyAlignment="1">
      <alignment horizontal="right" vertical="top" wrapText="1"/>
    </xf>
    <xf numFmtId="0" fontId="23" fillId="0" borderId="12" xfId="0" applyFont="1" applyBorder="1" applyAlignment="1">
      <alignment horizontal="right"/>
    </xf>
    <xf numFmtId="0" fontId="23" fillId="0" borderId="13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4" fontId="21" fillId="0" borderId="13" xfId="0" applyNumberFormat="1" applyFont="1" applyBorder="1" applyAlignment="1">
      <alignment horizontal="center"/>
    </xf>
    <xf numFmtId="4" fontId="2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right" vertical="distributed"/>
    </xf>
    <xf numFmtId="0" fontId="2" fillId="0" borderId="9" xfId="0" applyFont="1" applyBorder="1" applyAlignment="1">
      <alignment horizontal="right" vertical="distributed"/>
    </xf>
    <xf numFmtId="0" fontId="2" fillId="0" borderId="13" xfId="0" applyFont="1" applyBorder="1" applyAlignment="1">
      <alignment horizontal="center" vertical="distributed"/>
    </xf>
    <xf numFmtId="0" fontId="21" fillId="0" borderId="12" xfId="0" applyFont="1" applyFill="1" applyBorder="1" applyAlignment="1">
      <alignment horizontal="right" vertical="top" wrapText="1"/>
    </xf>
    <xf numFmtId="0" fontId="21" fillId="0" borderId="13" xfId="0" applyFont="1" applyFill="1" applyBorder="1" applyAlignment="1">
      <alignment horizontal="right" vertical="top" wrapText="1"/>
    </xf>
    <xf numFmtId="0" fontId="21" fillId="0" borderId="5" xfId="0" applyFont="1" applyFill="1" applyBorder="1" applyAlignment="1">
      <alignment horizontal="right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9" xfId="0" applyFont="1" applyFill="1" applyBorder="1" applyAlignment="1">
      <alignment horizontal="center" vertical="top" wrapText="1"/>
    </xf>
    <xf numFmtId="168" fontId="21" fillId="0" borderId="13" xfId="0" applyNumberFormat="1" applyFont="1" applyFill="1" applyBorder="1" applyAlignment="1">
      <alignment horizontal="center" vertical="top" wrapText="1"/>
    </xf>
    <xf numFmtId="168" fontId="21" fillId="0" borderId="9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right" vertical="distributed"/>
    </xf>
    <xf numFmtId="0" fontId="2" fillId="0" borderId="15" xfId="0" applyFont="1" applyBorder="1" applyAlignment="1">
      <alignment horizontal="right" vertical="distributed"/>
    </xf>
    <xf numFmtId="0" fontId="1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horizontal="right" vertical="top" wrapText="1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6" xfId="0" applyFont="1" applyFill="1" applyBorder="1" applyAlignment="1">
      <alignment horizontal="right" vertical="top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113</xdr:row>
      <xdr:rowOff>114300</xdr:rowOff>
    </xdr:from>
    <xdr:to>
      <xdr:col>1</xdr:col>
      <xdr:colOff>419100</xdr:colOff>
      <xdr:row>115</xdr:row>
      <xdr:rowOff>9525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20621625"/>
          <a:ext cx="1066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Руководитель</a:t>
          </a:r>
        </a:p>
      </xdr:txBody>
    </xdr:sp>
    <xdr:clientData/>
  </xdr:twoCellAnchor>
  <xdr:twoCellAnchor>
    <xdr:from>
      <xdr:col>2</xdr:col>
      <xdr:colOff>342900</xdr:colOff>
      <xdr:row>113</xdr:row>
      <xdr:rowOff>0</xdr:rowOff>
    </xdr:from>
    <xdr:to>
      <xdr:col>4</xdr:col>
      <xdr:colOff>438150</xdr:colOff>
      <xdr:row>114</xdr:row>
      <xdr:rowOff>142875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5457825" y="20507325"/>
          <a:ext cx="1466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Филиппова Раиса Михайловна</a:t>
          </a:r>
        </a:p>
      </xdr:txBody>
    </xdr:sp>
    <xdr:clientData/>
  </xdr:twoCellAnchor>
  <xdr:twoCellAnchor>
    <xdr:from>
      <xdr:col>1</xdr:col>
      <xdr:colOff>352425</xdr:colOff>
      <xdr:row>114</xdr:row>
      <xdr:rowOff>142875</xdr:rowOff>
    </xdr:from>
    <xdr:to>
      <xdr:col>2</xdr:col>
      <xdr:colOff>304800</xdr:colOff>
      <xdr:row>115</xdr:row>
      <xdr:rowOff>133350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000125" y="20812125"/>
          <a:ext cx="44196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(подпись)</a:t>
          </a:r>
        </a:p>
      </xdr:txBody>
    </xdr:sp>
    <xdr:clientData/>
  </xdr:twoCellAnchor>
  <xdr:twoCellAnchor>
    <xdr:from>
      <xdr:col>6</xdr:col>
      <xdr:colOff>561975</xdr:colOff>
      <xdr:row>114</xdr:row>
      <xdr:rowOff>142875</xdr:rowOff>
    </xdr:from>
    <xdr:to>
      <xdr:col>8</xdr:col>
      <xdr:colOff>95250</xdr:colOff>
      <xdr:row>115</xdr:row>
      <xdr:rowOff>133350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8420100" y="20812125"/>
          <a:ext cx="9048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(подпись)</a:t>
          </a:r>
        </a:p>
      </xdr:txBody>
    </xdr:sp>
    <xdr:clientData/>
  </xdr:twoCellAnchor>
  <xdr:twoCellAnchor>
    <xdr:from>
      <xdr:col>2</xdr:col>
      <xdr:colOff>342900</xdr:colOff>
      <xdr:row>114</xdr:row>
      <xdr:rowOff>142875</xdr:rowOff>
    </xdr:from>
    <xdr:to>
      <xdr:col>4</xdr:col>
      <xdr:colOff>438150</xdr:colOff>
      <xdr:row>115</xdr:row>
      <xdr:rowOff>133350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5457825" y="20812125"/>
          <a:ext cx="1466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(расшифровка подписи)</a:t>
          </a:r>
        </a:p>
      </xdr:txBody>
    </xdr:sp>
    <xdr:clientData/>
  </xdr:twoCellAnchor>
  <xdr:twoCellAnchor>
    <xdr:from>
      <xdr:col>4</xdr:col>
      <xdr:colOff>523875</xdr:colOff>
      <xdr:row>113</xdr:row>
      <xdr:rowOff>114300</xdr:rowOff>
    </xdr:from>
    <xdr:to>
      <xdr:col>6</xdr:col>
      <xdr:colOff>504825</xdr:colOff>
      <xdr:row>114</xdr:row>
      <xdr:rowOff>142875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7010400" y="20621625"/>
          <a:ext cx="1352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Главный бухгалтер</a:t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6</xdr:col>
      <xdr:colOff>161925</xdr:colOff>
      <xdr:row>115</xdr:row>
      <xdr:rowOff>152400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6486525" y="20831175"/>
          <a:ext cx="1533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(расшифровка подписи)</a:t>
          </a:r>
        </a:p>
      </xdr:txBody>
    </xdr:sp>
    <xdr:clientData/>
  </xdr:twoCellAnchor>
  <xdr:twoCellAnchor>
    <xdr:from>
      <xdr:col>0</xdr:col>
      <xdr:colOff>0</xdr:colOff>
      <xdr:row>117</xdr:row>
      <xdr:rowOff>28575</xdr:rowOff>
    </xdr:from>
    <xdr:to>
      <xdr:col>3</xdr:col>
      <xdr:colOff>47625</xdr:colOff>
      <xdr:row>117</xdr:row>
      <xdr:rowOff>152400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0" y="21183600"/>
          <a:ext cx="5848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12 Февраля 2011 г.</a:t>
          </a:r>
        </a:p>
      </xdr:txBody>
    </xdr:sp>
    <xdr:clientData/>
  </xdr:twoCellAnchor>
  <xdr:twoCellAnchor>
    <xdr:from>
      <xdr:col>2</xdr:col>
      <xdr:colOff>47625</xdr:colOff>
      <xdr:row>8</xdr:row>
      <xdr:rowOff>28575</xdr:rowOff>
    </xdr:from>
    <xdr:to>
      <xdr:col>8</xdr:col>
      <xdr:colOff>114300</xdr:colOff>
      <xdr:row>9</xdr:row>
      <xdr:rowOff>104775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5162550" y="1447800"/>
          <a:ext cx="4181475" cy="24765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Общество с ограниченной ответственностью "ЖилКом"</a:t>
          </a:r>
        </a:p>
      </xdr:txBody>
    </xdr:sp>
    <xdr:clientData/>
  </xdr:twoCellAnchor>
  <xdr:twoCellAnchor>
    <xdr:from>
      <xdr:col>2</xdr:col>
      <xdr:colOff>333375</xdr:colOff>
      <xdr:row>10</xdr:row>
      <xdr:rowOff>0</xdr:rowOff>
    </xdr:from>
    <xdr:to>
      <xdr:col>7</xdr:col>
      <xdr:colOff>628650</xdr:colOff>
      <xdr:row>11</xdr:row>
      <xdr:rowOff>85725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5448300" y="1762125"/>
          <a:ext cx="3724275" cy="257175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Деятельность в области права, бухгалтерского учета и аудита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3</xdr:col>
      <xdr:colOff>628650</xdr:colOff>
      <xdr:row>13</xdr:row>
      <xdr:rowOff>104775</xdr:rowOff>
    </xdr:to>
    <xdr:sp>
      <xdr:nvSpPr>
        <xdr:cNvPr id="11" name="Текст 11"/>
        <xdr:cNvSpPr txBox="1">
          <a:spLocks noChangeArrowheads="1"/>
        </xdr:cNvSpPr>
      </xdr:nvSpPr>
      <xdr:spPr>
        <a:xfrm>
          <a:off x="0" y="2095500"/>
          <a:ext cx="6429375" cy="2667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Общество с ограниченной отвественностью</a:t>
          </a:r>
        </a:p>
      </xdr:txBody>
    </xdr:sp>
    <xdr:clientData/>
  </xdr:twoCellAnchor>
  <xdr:twoCellAnchor>
    <xdr:from>
      <xdr:col>1</xdr:col>
      <xdr:colOff>657225</xdr:colOff>
      <xdr:row>13</xdr:row>
      <xdr:rowOff>104775</xdr:rowOff>
    </xdr:from>
    <xdr:to>
      <xdr:col>3</xdr:col>
      <xdr:colOff>628650</xdr:colOff>
      <xdr:row>14</xdr:row>
      <xdr:rowOff>123825</xdr:rowOff>
    </xdr:to>
    <xdr:sp>
      <xdr:nvSpPr>
        <xdr:cNvPr id="12" name="Текст 12"/>
        <xdr:cNvSpPr txBox="1">
          <a:spLocks noChangeArrowheads="1"/>
        </xdr:cNvSpPr>
      </xdr:nvSpPr>
      <xdr:spPr>
        <a:xfrm>
          <a:off x="1304925" y="2362200"/>
          <a:ext cx="51244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тыс руб</a:t>
          </a:r>
        </a:p>
      </xdr:txBody>
    </xdr:sp>
    <xdr:clientData/>
  </xdr:twoCellAnchor>
  <xdr:twoCellAnchor>
    <xdr:from>
      <xdr:col>4</xdr:col>
      <xdr:colOff>38100</xdr:colOff>
      <xdr:row>11</xdr:row>
      <xdr:rowOff>0</xdr:rowOff>
    </xdr:from>
    <xdr:to>
      <xdr:col>5</xdr:col>
      <xdr:colOff>114300</xdr:colOff>
      <xdr:row>13</xdr:row>
      <xdr:rowOff>95250</xdr:rowOff>
    </xdr:to>
    <xdr:sp>
      <xdr:nvSpPr>
        <xdr:cNvPr id="13" name="Текст 13"/>
        <xdr:cNvSpPr txBox="1">
          <a:spLocks noChangeArrowheads="1"/>
        </xdr:cNvSpPr>
      </xdr:nvSpPr>
      <xdr:spPr>
        <a:xfrm>
          <a:off x="6524625" y="1933575"/>
          <a:ext cx="762000" cy="4191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65</a:t>
          </a:r>
        </a:p>
      </xdr:txBody>
    </xdr:sp>
    <xdr:clientData/>
  </xdr:twoCellAnchor>
  <xdr:twoCellAnchor>
    <xdr:from>
      <xdr:col>5</xdr:col>
      <xdr:colOff>114300</xdr:colOff>
      <xdr:row>11</xdr:row>
      <xdr:rowOff>0</xdr:rowOff>
    </xdr:from>
    <xdr:to>
      <xdr:col>6</xdr:col>
      <xdr:colOff>161925</xdr:colOff>
      <xdr:row>13</xdr:row>
      <xdr:rowOff>95250</xdr:rowOff>
    </xdr:to>
    <xdr:sp>
      <xdr:nvSpPr>
        <xdr:cNvPr id="14" name="Текст 14"/>
        <xdr:cNvSpPr txBox="1">
          <a:spLocks noChangeArrowheads="1"/>
        </xdr:cNvSpPr>
      </xdr:nvSpPr>
      <xdr:spPr>
        <a:xfrm>
          <a:off x="7286625" y="1933575"/>
          <a:ext cx="733425" cy="4191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16</a:t>
          </a:r>
        </a:p>
      </xdr:txBody>
    </xdr:sp>
    <xdr:clientData/>
  </xdr:twoCellAnchor>
  <xdr:twoCellAnchor>
    <xdr:from>
      <xdr:col>3</xdr:col>
      <xdr:colOff>647700</xdr:colOff>
      <xdr:row>12</xdr:row>
      <xdr:rowOff>0</xdr:rowOff>
    </xdr:from>
    <xdr:to>
      <xdr:col>6</xdr:col>
      <xdr:colOff>200025</xdr:colOff>
      <xdr:row>13</xdr:row>
      <xdr:rowOff>104775</xdr:rowOff>
    </xdr:to>
    <xdr:sp>
      <xdr:nvSpPr>
        <xdr:cNvPr id="15" name="Текст 38"/>
        <xdr:cNvSpPr txBox="1">
          <a:spLocks noChangeArrowheads="1"/>
        </xdr:cNvSpPr>
      </xdr:nvSpPr>
      <xdr:spPr>
        <a:xfrm>
          <a:off x="6448425" y="2095500"/>
          <a:ext cx="1609725" cy="2667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частная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docs.adm.nov.ru/2008/2008_PA.nsf/0/0E6E7F8244647655C32574E2003CADF5?OpenDocument" TargetMode="External" /><Relationship Id="rId2" Type="http://schemas.openxmlformats.org/officeDocument/2006/relationships/hyperlink" Target="http://docs.adm.nov.ru/2008/2008_PA.nsf/0/0E6E7F8244647655C32574E2003CADF5?OpenDocument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workbookViewId="0" topLeftCell="A1">
      <selection activeCell="A8" sqref="A8:D8"/>
    </sheetView>
  </sheetViews>
  <sheetFormatPr defaultColWidth="9.00390625" defaultRowHeight="12.75"/>
  <cols>
    <col min="1" max="4" width="33.00390625" style="0" customWidth="1"/>
  </cols>
  <sheetData>
    <row r="1" ht="15">
      <c r="D1" s="1" t="s">
        <v>1</v>
      </c>
    </row>
    <row r="2" ht="15">
      <c r="D2" s="1" t="s">
        <v>2</v>
      </c>
    </row>
    <row r="3" ht="15">
      <c r="D3" s="1" t="s">
        <v>3</v>
      </c>
    </row>
    <row r="4" ht="15">
      <c r="D4" s="1" t="s">
        <v>4</v>
      </c>
    </row>
    <row r="5" ht="15">
      <c r="A5" s="1"/>
    </row>
    <row r="6" spans="1:4" ht="15">
      <c r="A6" s="329" t="s">
        <v>5</v>
      </c>
      <c r="B6" s="329"/>
      <c r="C6" s="329"/>
      <c r="D6" s="329"/>
    </row>
    <row r="7" spans="1:4" ht="15">
      <c r="A7" s="329" t="s">
        <v>6</v>
      </c>
      <c r="B7" s="329"/>
      <c r="C7" s="329"/>
      <c r="D7" s="329"/>
    </row>
    <row r="8" spans="1:4" ht="15">
      <c r="A8" s="329" t="s">
        <v>673</v>
      </c>
      <c r="B8" s="329"/>
      <c r="C8" s="329"/>
      <c r="D8" s="329"/>
    </row>
    <row r="9" ht="15">
      <c r="A9" s="3"/>
    </row>
    <row r="10" ht="15">
      <c r="A10" s="4" t="s">
        <v>7</v>
      </c>
    </row>
    <row r="11" ht="15.75" thickBot="1">
      <c r="A11" s="2"/>
    </row>
    <row r="12" spans="1:4" ht="15.75" thickBot="1">
      <c r="A12" s="330" t="s">
        <v>8</v>
      </c>
      <c r="B12" s="332"/>
      <c r="C12" s="332"/>
      <c r="D12" s="331"/>
    </row>
    <row r="13" spans="1:4" ht="15">
      <c r="A13" s="336" t="s">
        <v>9</v>
      </c>
      <c r="B13" s="337"/>
      <c r="C13" s="337"/>
      <c r="D13" s="338"/>
    </row>
    <row r="14" spans="1:4" ht="15.75" thickBot="1">
      <c r="A14" s="339" t="s">
        <v>10</v>
      </c>
      <c r="B14" s="340"/>
      <c r="C14" s="340"/>
      <c r="D14" s="341"/>
    </row>
    <row r="15" spans="1:4" ht="15">
      <c r="A15" s="336" t="s">
        <v>11</v>
      </c>
      <c r="B15" s="337"/>
      <c r="C15" s="337"/>
      <c r="D15" s="338"/>
    </row>
    <row r="16" spans="1:4" ht="33" customHeight="1" thickBot="1">
      <c r="A16" s="333" t="s">
        <v>12</v>
      </c>
      <c r="B16" s="334"/>
      <c r="C16" s="334"/>
      <c r="D16" s="335"/>
    </row>
    <row r="17" spans="1:4" ht="15.75" thickBot="1">
      <c r="A17" s="330" t="s">
        <v>13</v>
      </c>
      <c r="B17" s="332"/>
      <c r="C17" s="332"/>
      <c r="D17" s="331"/>
    </row>
    <row r="18" spans="1:4" ht="36.75" customHeight="1" thickBot="1">
      <c r="A18" s="330" t="s">
        <v>14</v>
      </c>
      <c r="B18" s="332"/>
      <c r="C18" s="332"/>
      <c r="D18" s="331"/>
    </row>
    <row r="19" spans="1:4" ht="15.75" thickBot="1">
      <c r="A19" s="330" t="s">
        <v>653</v>
      </c>
      <c r="B19" s="331"/>
      <c r="C19" s="330" t="s">
        <v>15</v>
      </c>
      <c r="D19" s="331"/>
    </row>
    <row r="20" spans="1:4" ht="71.25" customHeight="1" thickBot="1">
      <c r="A20" s="5" t="s">
        <v>16</v>
      </c>
      <c r="B20" s="330" t="s">
        <v>17</v>
      </c>
      <c r="C20" s="331"/>
      <c r="D20" s="6" t="s">
        <v>18</v>
      </c>
    </row>
    <row r="21" spans="1:4" ht="33" customHeight="1" thickBot="1">
      <c r="A21" s="330" t="s">
        <v>19</v>
      </c>
      <c r="B21" s="332"/>
      <c r="C21" s="332"/>
      <c r="D21" s="331"/>
    </row>
  </sheetData>
  <mergeCells count="14">
    <mergeCell ref="A12:D12"/>
    <mergeCell ref="A13:D13"/>
    <mergeCell ref="A14:D14"/>
    <mergeCell ref="A15:D15"/>
    <mergeCell ref="A8:D8"/>
    <mergeCell ref="B20:C20"/>
    <mergeCell ref="A21:D21"/>
    <mergeCell ref="A6:D6"/>
    <mergeCell ref="A7:D7"/>
    <mergeCell ref="A16:D16"/>
    <mergeCell ref="A17:D17"/>
    <mergeCell ref="A18:D18"/>
    <mergeCell ref="A19:B19"/>
    <mergeCell ref="C19:D19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1"/>
  <sheetViews>
    <sheetView workbookViewId="0" topLeftCell="A1">
      <selection activeCell="L70" sqref="L70"/>
    </sheetView>
  </sheetViews>
  <sheetFormatPr defaultColWidth="9.00390625" defaultRowHeight="15" customHeight="1" outlineLevelRow="3" outlineLevelCol="1"/>
  <cols>
    <col min="1" max="1" width="77.125" style="72" customWidth="1"/>
    <col min="2" max="4" width="11.375" style="163" hidden="1" customWidth="1" outlineLevel="1"/>
    <col min="5" max="5" width="11.375" style="128" hidden="1" customWidth="1" outlineLevel="1"/>
    <col min="6" max="6" width="12.625" style="128" hidden="1" customWidth="1" outlineLevel="1"/>
    <col min="7" max="7" width="11.375" style="163" hidden="1" customWidth="1" outlineLevel="1"/>
    <col min="8" max="8" width="17.125" style="164" customWidth="1" collapsed="1"/>
    <col min="9" max="9" width="17.125" style="164" customWidth="1"/>
    <col min="10" max="10" width="18.625" style="69" customWidth="1"/>
    <col min="11" max="16384" width="9.125" style="72" customWidth="1"/>
  </cols>
  <sheetData>
    <row r="1" spans="1:10" s="69" customFormat="1" ht="15" customHeight="1">
      <c r="A1" s="66" t="s">
        <v>323</v>
      </c>
      <c r="B1" s="67"/>
      <c r="C1" s="67"/>
      <c r="D1" s="67"/>
      <c r="E1" s="68"/>
      <c r="F1" s="68"/>
      <c r="G1" s="439" t="s">
        <v>323</v>
      </c>
      <c r="H1" s="439"/>
      <c r="I1" s="439"/>
      <c r="J1" s="439"/>
    </row>
    <row r="2" spans="1:10" s="69" customFormat="1" ht="15" customHeight="1">
      <c r="A2" s="69" t="s">
        <v>324</v>
      </c>
      <c r="B2" s="67"/>
      <c r="C2" s="67"/>
      <c r="D2" s="67"/>
      <c r="E2" s="68"/>
      <c r="F2" s="68"/>
      <c r="G2" s="439" t="s">
        <v>325</v>
      </c>
      <c r="H2" s="439"/>
      <c r="I2" s="439"/>
      <c r="J2" s="439"/>
    </row>
    <row r="3" spans="1:10" s="69" customFormat="1" ht="15" customHeight="1">
      <c r="A3" s="69" t="s">
        <v>326</v>
      </c>
      <c r="B3" s="67"/>
      <c r="C3" s="67"/>
      <c r="D3" s="67"/>
      <c r="E3" s="68"/>
      <c r="F3" s="68"/>
      <c r="G3" s="439" t="s">
        <v>327</v>
      </c>
      <c r="H3" s="439"/>
      <c r="I3" s="439"/>
      <c r="J3" s="439"/>
    </row>
    <row r="4" spans="2:10" s="69" customFormat="1" ht="15" customHeight="1">
      <c r="B4" s="67"/>
      <c r="C4" s="67"/>
      <c r="D4" s="67"/>
      <c r="E4" s="68"/>
      <c r="F4" s="68"/>
      <c r="G4" s="70"/>
      <c r="H4" s="70"/>
      <c r="I4" s="70"/>
      <c r="J4" s="70"/>
    </row>
    <row r="5" spans="2:10" s="69" customFormat="1" ht="15" customHeight="1">
      <c r="B5" s="67"/>
      <c r="C5" s="67"/>
      <c r="D5" s="67"/>
      <c r="E5" s="68"/>
      <c r="F5" s="68"/>
      <c r="G5" s="70"/>
      <c r="H5" s="70"/>
      <c r="I5" s="70"/>
      <c r="J5" s="70"/>
    </row>
    <row r="6" spans="1:9" ht="18" customHeight="1">
      <c r="A6" s="419" t="s">
        <v>530</v>
      </c>
      <c r="B6" s="419"/>
      <c r="C6" s="419"/>
      <c r="D6" s="419"/>
      <c r="E6" s="419"/>
      <c r="F6" s="419"/>
      <c r="G6" s="419"/>
      <c r="H6" s="419"/>
      <c r="I6" s="419"/>
    </row>
    <row r="7" spans="1:9" s="69" customFormat="1" ht="15" customHeight="1" hidden="1" outlineLevel="1" thickBot="1">
      <c r="A7" s="173" t="s">
        <v>328</v>
      </c>
      <c r="B7" s="420"/>
      <c r="C7" s="420"/>
      <c r="D7" s="73"/>
      <c r="E7" s="74" t="s">
        <v>329</v>
      </c>
      <c r="F7" s="74"/>
      <c r="G7" s="75"/>
      <c r="H7" s="62" t="s">
        <v>288</v>
      </c>
      <c r="I7" s="71" t="s">
        <v>330</v>
      </c>
    </row>
    <row r="8" spans="1:9" s="69" customFormat="1" ht="15" customHeight="1" hidden="1" outlineLevel="1">
      <c r="A8" s="76" t="s">
        <v>331</v>
      </c>
      <c r="B8" s="77">
        <v>1974</v>
      </c>
      <c r="C8" s="77">
        <v>2011</v>
      </c>
      <c r="D8" s="77"/>
      <c r="E8" s="78">
        <f>C8-B8</f>
        <v>37</v>
      </c>
      <c r="F8" s="78"/>
      <c r="G8" s="78"/>
      <c r="H8" s="79"/>
      <c r="I8" s="80"/>
    </row>
    <row r="9" spans="1:9" s="69" customFormat="1" ht="15" customHeight="1" hidden="1" outlineLevel="1">
      <c r="A9" s="81" t="s">
        <v>332</v>
      </c>
      <c r="B9" s="82"/>
      <c r="C9" s="82"/>
      <c r="D9" s="82"/>
      <c r="E9" s="82">
        <v>3333.1</v>
      </c>
      <c r="F9" s="82"/>
      <c r="G9" s="83"/>
      <c r="H9" s="84"/>
      <c r="I9" s="85"/>
    </row>
    <row r="10" spans="1:9" s="69" customFormat="1" ht="15" customHeight="1" hidden="1" outlineLevel="1">
      <c r="A10" s="81" t="s">
        <v>25</v>
      </c>
      <c r="B10" s="82"/>
      <c r="C10" s="82"/>
      <c r="D10" s="82"/>
      <c r="E10" s="82">
        <v>70</v>
      </c>
      <c r="F10" s="82"/>
      <c r="G10" s="83"/>
      <c r="H10" s="84"/>
      <c r="I10" s="85"/>
    </row>
    <row r="11" spans="1:9" s="69" customFormat="1" ht="15" customHeight="1" hidden="1" outlineLevel="1">
      <c r="A11" s="81" t="s">
        <v>333</v>
      </c>
      <c r="B11" s="82"/>
      <c r="C11" s="82"/>
      <c r="D11" s="82"/>
      <c r="E11" s="82">
        <v>950</v>
      </c>
      <c r="F11" s="82"/>
      <c r="G11" s="83"/>
      <c r="H11" s="84"/>
      <c r="I11" s="85"/>
    </row>
    <row r="12" spans="1:9" s="69" customFormat="1" ht="15" customHeight="1" hidden="1" outlineLevel="1">
      <c r="A12" s="81" t="s">
        <v>334</v>
      </c>
      <c r="B12" s="82"/>
      <c r="C12" s="82"/>
      <c r="D12" s="82"/>
      <c r="E12" s="82">
        <v>360</v>
      </c>
      <c r="F12" s="82"/>
      <c r="G12" s="83"/>
      <c r="H12" s="84"/>
      <c r="I12" s="85"/>
    </row>
    <row r="13" spans="1:9" s="69" customFormat="1" ht="15" customHeight="1" hidden="1" outlineLevel="1">
      <c r="A13" s="81" t="s">
        <v>335</v>
      </c>
      <c r="B13" s="82"/>
      <c r="C13" s="82"/>
      <c r="D13" s="82"/>
      <c r="E13" s="82">
        <v>11675</v>
      </c>
      <c r="F13" s="82"/>
      <c r="G13" s="83"/>
      <c r="H13" s="84"/>
      <c r="I13" s="85"/>
    </row>
    <row r="14" spans="1:9" s="69" customFormat="1" ht="15" customHeight="1" hidden="1" outlineLevel="1">
      <c r="A14" s="81" t="s">
        <v>336</v>
      </c>
      <c r="B14" s="82"/>
      <c r="C14" s="82"/>
      <c r="D14" s="82"/>
      <c r="E14" s="82">
        <v>0</v>
      </c>
      <c r="F14" s="82"/>
      <c r="G14" s="83"/>
      <c r="H14" s="84"/>
      <c r="I14" s="85"/>
    </row>
    <row r="15" spans="1:9" s="69" customFormat="1" ht="15" customHeight="1" hidden="1" outlineLevel="1">
      <c r="A15" s="81" t="s">
        <v>337</v>
      </c>
      <c r="B15" s="82"/>
      <c r="C15" s="82"/>
      <c r="D15" s="82"/>
      <c r="E15" s="82">
        <v>305.5</v>
      </c>
      <c r="F15" s="82"/>
      <c r="G15" s="83"/>
      <c r="H15" s="84"/>
      <c r="I15" s="85"/>
    </row>
    <row r="16" spans="1:9" s="69" customFormat="1" ht="15" customHeight="1" hidden="1" outlineLevel="1">
      <c r="A16" s="81" t="s">
        <v>338</v>
      </c>
      <c r="B16" s="82"/>
      <c r="C16" s="82"/>
      <c r="D16" s="82"/>
      <c r="E16" s="82">
        <v>479</v>
      </c>
      <c r="F16" s="82"/>
      <c r="G16" s="83"/>
      <c r="H16" s="84"/>
      <c r="I16" s="85"/>
    </row>
    <row r="17" spans="1:9" ht="15" customHeight="1" hidden="1" outlineLevel="1">
      <c r="A17" s="81" t="s">
        <v>339</v>
      </c>
      <c r="B17" s="82"/>
      <c r="C17" s="82"/>
      <c r="D17" s="82"/>
      <c r="E17" s="82">
        <v>300</v>
      </c>
      <c r="F17" s="82"/>
      <c r="G17" s="83"/>
      <c r="H17" s="84"/>
      <c r="I17" s="85"/>
    </row>
    <row r="18" spans="1:9" ht="15" customHeight="1" hidden="1" outlineLevel="1">
      <c r="A18" s="81" t="s">
        <v>340</v>
      </c>
      <c r="B18" s="82"/>
      <c r="C18" s="82"/>
      <c r="D18" s="82"/>
      <c r="E18" s="82">
        <v>643</v>
      </c>
      <c r="F18" s="82"/>
      <c r="G18" s="83"/>
      <c r="H18" s="84"/>
      <c r="I18" s="85"/>
    </row>
    <row r="19" spans="1:9" ht="15" customHeight="1" hidden="1" outlineLevel="1">
      <c r="A19" s="81" t="s">
        <v>341</v>
      </c>
      <c r="B19" s="82"/>
      <c r="C19" s="82"/>
      <c r="D19" s="82"/>
      <c r="E19" s="82">
        <v>464</v>
      </c>
      <c r="F19" s="82"/>
      <c r="G19" s="83"/>
      <c r="H19" s="84"/>
      <c r="I19" s="85"/>
    </row>
    <row r="20" spans="1:9" ht="15" customHeight="1" hidden="1" outlineLevel="1">
      <c r="A20" s="81" t="s">
        <v>342</v>
      </c>
      <c r="B20" s="82"/>
      <c r="C20" s="82"/>
      <c r="D20" s="82"/>
      <c r="E20" s="82">
        <v>229</v>
      </c>
      <c r="F20" s="82"/>
      <c r="G20" s="83"/>
      <c r="H20" s="84"/>
      <c r="I20" s="85"/>
    </row>
    <row r="21" spans="1:9" ht="15" customHeight="1" hidden="1" outlineLevel="1">
      <c r="A21" s="81" t="s">
        <v>343</v>
      </c>
      <c r="B21" s="82"/>
      <c r="C21" s="82"/>
      <c r="D21" s="82"/>
      <c r="E21" s="82">
        <v>20</v>
      </c>
      <c r="F21" s="82"/>
      <c r="G21" s="83"/>
      <c r="H21" s="84"/>
      <c r="I21" s="85"/>
    </row>
    <row r="22" spans="1:9" ht="15" customHeight="1" hidden="1" outlineLevel="1">
      <c r="A22" s="81" t="s">
        <v>344</v>
      </c>
      <c r="B22" s="82"/>
      <c r="C22" s="82"/>
      <c r="D22" s="82"/>
      <c r="E22" s="82">
        <v>828</v>
      </c>
      <c r="F22" s="82"/>
      <c r="G22" s="83"/>
      <c r="H22" s="84"/>
      <c r="I22" s="85"/>
    </row>
    <row r="23" spans="1:9" ht="15" customHeight="1" hidden="1" outlineLevel="1">
      <c r="A23" s="81" t="s">
        <v>345</v>
      </c>
      <c r="B23" s="82"/>
      <c r="C23" s="82"/>
      <c r="D23" s="82"/>
      <c r="E23" s="82">
        <v>2</v>
      </c>
      <c r="F23" s="82"/>
      <c r="G23" s="83"/>
      <c r="H23" s="84"/>
      <c r="I23" s="85"/>
    </row>
    <row r="24" spans="1:9" ht="15" customHeight="1" hidden="1" outlineLevel="1">
      <c r="A24" s="81" t="s">
        <v>346</v>
      </c>
      <c r="B24" s="82"/>
      <c r="C24" s="82"/>
      <c r="D24" s="82"/>
      <c r="E24" s="82">
        <v>168</v>
      </c>
      <c r="F24" s="82"/>
      <c r="G24" s="83"/>
      <c r="H24" s="84"/>
      <c r="I24" s="85"/>
    </row>
    <row r="25" spans="1:9" ht="15" customHeight="1" hidden="1" outlineLevel="1">
      <c r="A25" s="81" t="s">
        <v>347</v>
      </c>
      <c r="B25" s="82"/>
      <c r="C25" s="82"/>
      <c r="D25" s="82"/>
      <c r="E25" s="82">
        <v>0</v>
      </c>
      <c r="F25" s="82"/>
      <c r="G25" s="83"/>
      <c r="H25" s="84"/>
      <c r="I25" s="85"/>
    </row>
    <row r="26" spans="1:9" ht="15" customHeight="1" hidden="1" outlineLevel="1">
      <c r="A26" s="81" t="s">
        <v>348</v>
      </c>
      <c r="B26" s="82"/>
      <c r="C26" s="82"/>
      <c r="D26" s="82"/>
      <c r="E26" s="82">
        <v>1.5</v>
      </c>
      <c r="F26" s="82"/>
      <c r="G26" s="83"/>
      <c r="H26" s="84"/>
      <c r="I26" s="85"/>
    </row>
    <row r="27" spans="1:9" ht="15" customHeight="1" hidden="1" outlineLevel="1">
      <c r="A27" s="81" t="s">
        <v>349</v>
      </c>
      <c r="B27" s="82"/>
      <c r="C27" s="82"/>
      <c r="D27" s="82"/>
      <c r="E27" s="82">
        <v>0</v>
      </c>
      <c r="F27" s="82"/>
      <c r="G27" s="83"/>
      <c r="H27" s="84"/>
      <c r="I27" s="85"/>
    </row>
    <row r="28" spans="1:9" ht="15" customHeight="1" hidden="1" outlineLevel="1">
      <c r="A28" s="81" t="s">
        <v>31</v>
      </c>
      <c r="B28" s="82"/>
      <c r="C28" s="82"/>
      <c r="D28" s="82"/>
      <c r="E28" s="82">
        <v>0</v>
      </c>
      <c r="F28" s="82"/>
      <c r="G28" s="83"/>
      <c r="H28" s="84"/>
      <c r="I28" s="85"/>
    </row>
    <row r="29" spans="1:9" ht="15" customHeight="1" hidden="1" outlineLevel="1">
      <c r="A29" s="81" t="s">
        <v>350</v>
      </c>
      <c r="B29" s="82"/>
      <c r="C29" s="82"/>
      <c r="D29" s="82"/>
      <c r="E29" s="82">
        <v>705.1</v>
      </c>
      <c r="F29" s="82"/>
      <c r="G29" s="83"/>
      <c r="H29" s="84"/>
      <c r="I29" s="85"/>
    </row>
    <row r="30" spans="1:9" ht="15" customHeight="1" hidden="1" outlineLevel="1">
      <c r="A30" s="81" t="s">
        <v>351</v>
      </c>
      <c r="B30" s="82"/>
      <c r="C30" s="82"/>
      <c r="D30" s="82"/>
      <c r="E30" s="82">
        <v>140</v>
      </c>
      <c r="F30" s="82"/>
      <c r="G30" s="83"/>
      <c r="H30" s="84"/>
      <c r="I30" s="85"/>
    </row>
    <row r="31" spans="1:9" ht="15" customHeight="1" hidden="1" outlineLevel="1">
      <c r="A31" s="81" t="s">
        <v>352</v>
      </c>
      <c r="B31" s="82"/>
      <c r="C31" s="82"/>
      <c r="D31" s="82"/>
      <c r="E31" s="82">
        <v>140</v>
      </c>
      <c r="F31" s="82"/>
      <c r="G31" s="83"/>
      <c r="H31" s="84"/>
      <c r="I31" s="85"/>
    </row>
    <row r="32" spans="1:9" ht="15" customHeight="1" hidden="1" outlineLevel="1">
      <c r="A32" s="81" t="s">
        <v>353</v>
      </c>
      <c r="B32" s="82"/>
      <c r="C32" s="82"/>
      <c r="D32" s="82"/>
      <c r="E32" s="82"/>
      <c r="F32" s="82"/>
      <c r="G32" s="83"/>
      <c r="H32" s="84"/>
      <c r="I32" s="85"/>
    </row>
    <row r="33" spans="1:9" s="69" customFormat="1" ht="15" customHeight="1" hidden="1" outlineLevel="1">
      <c r="A33" s="81" t="s">
        <v>354</v>
      </c>
      <c r="B33" s="82"/>
      <c r="C33" s="82"/>
      <c r="D33" s="82"/>
      <c r="E33" s="82"/>
      <c r="F33" s="82"/>
      <c r="G33" s="83"/>
      <c r="H33" s="84"/>
      <c r="I33" s="85"/>
    </row>
    <row r="34" spans="1:9" s="69" customFormat="1" ht="15" customHeight="1" hidden="1" outlineLevel="1">
      <c r="A34" s="81" t="s">
        <v>355</v>
      </c>
      <c r="B34" s="82"/>
      <c r="C34" s="82"/>
      <c r="D34" s="82"/>
      <c r="E34" s="82"/>
      <c r="F34" s="82"/>
      <c r="G34" s="83"/>
      <c r="H34" s="84"/>
      <c r="I34" s="85"/>
    </row>
    <row r="35" spans="1:9" s="69" customFormat="1" ht="15" customHeight="1" hidden="1" outlineLevel="1">
      <c r="A35" s="81" t="s">
        <v>356</v>
      </c>
      <c r="B35" s="82"/>
      <c r="C35" s="82"/>
      <c r="D35" s="82"/>
      <c r="E35" s="82"/>
      <c r="F35" s="82"/>
      <c r="G35" s="83"/>
      <c r="H35" s="84"/>
      <c r="I35" s="85"/>
    </row>
    <row r="36" spans="1:9" s="69" customFormat="1" ht="15" customHeight="1" hidden="1" outlineLevel="1" thickBot="1">
      <c r="A36" s="81" t="s">
        <v>357</v>
      </c>
      <c r="B36" s="82"/>
      <c r="C36" s="82"/>
      <c r="D36" s="82"/>
      <c r="E36" s="82" t="s">
        <v>516</v>
      </c>
      <c r="F36" s="82"/>
      <c r="G36" s="83"/>
      <c r="H36" s="84"/>
      <c r="I36" s="85"/>
    </row>
    <row r="37" spans="1:9" s="69" customFormat="1" ht="15" customHeight="1" hidden="1" outlineLevel="1">
      <c r="A37" s="174" t="s">
        <v>517</v>
      </c>
      <c r="B37" s="78"/>
      <c r="C37" s="78"/>
      <c r="D37" s="78"/>
      <c r="E37" s="175"/>
      <c r="F37" s="175"/>
      <c r="G37" s="78"/>
      <c r="H37" s="175" t="e">
        <f>#REF!</f>
        <v>#REF!</v>
      </c>
      <c r="I37" s="225" t="e">
        <f>H37/12</f>
        <v>#REF!</v>
      </c>
    </row>
    <row r="38" spans="1:9" s="69" customFormat="1" ht="15" customHeight="1" hidden="1" outlineLevel="1">
      <c r="A38" s="178" t="s">
        <v>518</v>
      </c>
      <c r="B38" s="83"/>
      <c r="C38" s="83"/>
      <c r="D38" s="83"/>
      <c r="E38" s="179"/>
      <c r="F38" s="179"/>
      <c r="G38" s="83"/>
      <c r="H38" s="179">
        <f>F52</f>
        <v>46.524</v>
      </c>
      <c r="I38" s="226">
        <f>H38/12</f>
        <v>3.8770000000000002</v>
      </c>
    </row>
    <row r="39" spans="1:9" s="69" customFormat="1" ht="15" customHeight="1" hidden="1" outlineLevel="1">
      <c r="A39" s="178" t="s">
        <v>519</v>
      </c>
      <c r="B39" s="83"/>
      <c r="C39" s="83"/>
      <c r="D39" s="83"/>
      <c r="E39" s="179"/>
      <c r="F39" s="179"/>
      <c r="G39" s="83"/>
      <c r="H39" s="179" t="e">
        <f>#REF!</f>
        <v>#REF!</v>
      </c>
      <c r="I39" s="226" t="e">
        <f>H39/12</f>
        <v>#REF!</v>
      </c>
    </row>
    <row r="40" spans="1:9" s="69" customFormat="1" ht="15" customHeight="1" hidden="1" outlineLevel="1">
      <c r="A40" s="178" t="s">
        <v>520</v>
      </c>
      <c r="B40" s="83"/>
      <c r="C40" s="83"/>
      <c r="D40" s="83"/>
      <c r="E40" s="179"/>
      <c r="F40" s="179"/>
      <c r="G40" s="83"/>
      <c r="H40" s="179" t="e">
        <f>#REF!</f>
        <v>#REF!</v>
      </c>
      <c r="I40" s="226" t="e">
        <f>H40/5.5</f>
        <v>#REF!</v>
      </c>
    </row>
    <row r="41" spans="1:9" s="69" customFormat="1" ht="15" customHeight="1" hidden="1" outlineLevel="1">
      <c r="A41" s="178" t="s">
        <v>521</v>
      </c>
      <c r="B41" s="83"/>
      <c r="C41" s="83"/>
      <c r="D41" s="83"/>
      <c r="E41" s="179"/>
      <c r="F41" s="179"/>
      <c r="G41" s="83"/>
      <c r="H41" s="179" t="e">
        <f>#REF!</f>
        <v>#REF!</v>
      </c>
      <c r="I41" s="226" t="e">
        <f>H41/6.5</f>
        <v>#REF!</v>
      </c>
    </row>
    <row r="42" spans="1:9" s="69" customFormat="1" ht="15" customHeight="1" hidden="1" outlineLevel="1" thickBot="1">
      <c r="A42" s="227" t="s">
        <v>522</v>
      </c>
      <c r="B42" s="88"/>
      <c r="C42" s="88"/>
      <c r="D42" s="88"/>
      <c r="E42" s="228"/>
      <c r="F42" s="228"/>
      <c r="G42" s="88"/>
      <c r="H42" s="228" t="e">
        <f>#REF!</f>
        <v>#REF!</v>
      </c>
      <c r="I42" s="229" t="e">
        <f>H42/12</f>
        <v>#REF!</v>
      </c>
    </row>
    <row r="43" spans="1:10" s="91" customFormat="1" ht="20.25" customHeight="1" collapsed="1" thickBot="1">
      <c r="A43" s="440" t="s">
        <v>287</v>
      </c>
      <c r="B43" s="440"/>
      <c r="C43" s="440"/>
      <c r="D43" s="440"/>
      <c r="E43" s="440"/>
      <c r="F43" s="440"/>
      <c r="G43" s="231" t="s">
        <v>358</v>
      </c>
      <c r="H43" s="63" t="s">
        <v>288</v>
      </c>
      <c r="I43" s="63" t="s">
        <v>294</v>
      </c>
      <c r="J43" s="63" t="s">
        <v>300</v>
      </c>
    </row>
    <row r="44" spans="1:10" s="97" customFormat="1" ht="31.5" thickBot="1">
      <c r="A44" s="232" t="s">
        <v>274</v>
      </c>
      <c r="B44" s="233" t="s">
        <v>359</v>
      </c>
      <c r="C44" s="233" t="s">
        <v>360</v>
      </c>
      <c r="D44" s="233" t="s">
        <v>361</v>
      </c>
      <c r="E44" s="233" t="s">
        <v>329</v>
      </c>
      <c r="F44" s="233" t="s">
        <v>362</v>
      </c>
      <c r="G44" s="221" t="s">
        <v>363</v>
      </c>
      <c r="H44" s="234">
        <v>166854.07</v>
      </c>
      <c r="I44" s="234">
        <f aca="true" t="shared" si="0" ref="I44:I52">H44/12</f>
        <v>13904.505833333335</v>
      </c>
      <c r="J44" s="235">
        <f aca="true" t="shared" si="1" ref="J44:J50">I44/$E$9</f>
        <v>4.171643765063555</v>
      </c>
    </row>
    <row r="45" spans="1:10" s="97" customFormat="1" ht="31.5" thickBot="1">
      <c r="A45" s="232" t="s">
        <v>273</v>
      </c>
      <c r="B45" s="233" t="s">
        <v>359</v>
      </c>
      <c r="C45" s="233" t="s">
        <v>360</v>
      </c>
      <c r="D45" s="233" t="s">
        <v>361</v>
      </c>
      <c r="E45" s="233" t="s">
        <v>329</v>
      </c>
      <c r="F45" s="233" t="s">
        <v>362</v>
      </c>
      <c r="G45" s="221" t="s">
        <v>363</v>
      </c>
      <c r="H45" s="234">
        <v>86855.52</v>
      </c>
      <c r="I45" s="234">
        <f t="shared" si="0"/>
        <v>7237.96</v>
      </c>
      <c r="J45" s="235">
        <f t="shared" si="1"/>
        <v>2.1715400078005462</v>
      </c>
    </row>
    <row r="46" spans="1:10" s="118" customFormat="1" ht="31.5" thickBot="1">
      <c r="A46" s="232" t="s">
        <v>275</v>
      </c>
      <c r="B46" s="233" t="s">
        <v>359</v>
      </c>
      <c r="C46" s="233" t="s">
        <v>360</v>
      </c>
      <c r="D46" s="233" t="s">
        <v>361</v>
      </c>
      <c r="E46" s="233" t="s">
        <v>329</v>
      </c>
      <c r="F46" s="233" t="s">
        <v>362</v>
      </c>
      <c r="G46" s="221" t="s">
        <v>363</v>
      </c>
      <c r="H46" s="234">
        <v>121389.74</v>
      </c>
      <c r="I46" s="234">
        <f t="shared" si="0"/>
        <v>10115.811666666666</v>
      </c>
      <c r="J46" s="235">
        <f t="shared" si="1"/>
        <v>3.034955946916284</v>
      </c>
    </row>
    <row r="47" spans="1:10" ht="15" customHeight="1" hidden="1" outlineLevel="2">
      <c r="A47" s="239" t="s">
        <v>384</v>
      </c>
      <c r="B47" s="128"/>
      <c r="C47" s="128"/>
      <c r="D47" s="127"/>
      <c r="E47" s="164"/>
      <c r="F47" s="128">
        <v>0</v>
      </c>
      <c r="G47" s="163">
        <v>766</v>
      </c>
      <c r="H47" s="164">
        <f>F47*G47</f>
        <v>0</v>
      </c>
      <c r="I47" s="164">
        <f t="shared" si="0"/>
        <v>0</v>
      </c>
      <c r="J47" s="237">
        <f t="shared" si="1"/>
        <v>0</v>
      </c>
    </row>
    <row r="48" spans="1:10" ht="15" customHeight="1" hidden="1" outlineLevel="2">
      <c r="A48" s="239" t="s">
        <v>385</v>
      </c>
      <c r="B48" s="128"/>
      <c r="C48" s="128"/>
      <c r="D48" s="127"/>
      <c r="E48" s="164"/>
      <c r="F48" s="128">
        <v>0</v>
      </c>
      <c r="G48" s="163">
        <v>680</v>
      </c>
      <c r="H48" s="164">
        <f>F48*G48</f>
        <v>0</v>
      </c>
      <c r="I48" s="164">
        <f t="shared" si="0"/>
        <v>0</v>
      </c>
      <c r="J48" s="237">
        <f t="shared" si="1"/>
        <v>0</v>
      </c>
    </row>
    <row r="49" spans="1:10" ht="15" customHeight="1" hidden="1" outlineLevel="2">
      <c r="A49" s="239" t="s">
        <v>386</v>
      </c>
      <c r="B49" s="128"/>
      <c r="C49" s="128"/>
      <c r="D49" s="127"/>
      <c r="E49" s="164"/>
      <c r="F49" s="128">
        <v>0</v>
      </c>
      <c r="G49" s="163">
        <v>790</v>
      </c>
      <c r="H49" s="164">
        <f>F49*G49</f>
        <v>0</v>
      </c>
      <c r="I49" s="164">
        <f t="shared" si="0"/>
        <v>0</v>
      </c>
      <c r="J49" s="237">
        <f t="shared" si="1"/>
        <v>0</v>
      </c>
    </row>
    <row r="50" spans="1:10" s="118" customFormat="1" ht="31.5" hidden="1" collapsed="1" thickBot="1">
      <c r="A50" s="92" t="s">
        <v>282</v>
      </c>
      <c r="B50" s="93" t="s">
        <v>359</v>
      </c>
      <c r="C50" s="93" t="s">
        <v>360</v>
      </c>
      <c r="D50" s="93" t="s">
        <v>361</v>
      </c>
      <c r="E50" s="93" t="s">
        <v>329</v>
      </c>
      <c r="F50" s="93" t="s">
        <v>362</v>
      </c>
      <c r="G50" s="94" t="s">
        <v>363</v>
      </c>
      <c r="H50" s="95" t="e">
        <f>#REF!+#REF!+#REF!+#REF!+#REF!+#REF!+#REF!</f>
        <v>#REF!</v>
      </c>
      <c r="I50" s="95" t="e">
        <f t="shared" si="0"/>
        <v>#REF!</v>
      </c>
      <c r="J50" s="96" t="e">
        <f t="shared" si="1"/>
        <v>#REF!</v>
      </c>
    </row>
    <row r="51" spans="1:10" ht="31.5" thickBot="1">
      <c r="A51" s="92" t="s">
        <v>289</v>
      </c>
      <c r="B51" s="93" t="s">
        <v>359</v>
      </c>
      <c r="C51" s="93" t="s">
        <v>360</v>
      </c>
      <c r="D51" s="93" t="s">
        <v>361</v>
      </c>
      <c r="E51" s="93" t="s">
        <v>329</v>
      </c>
      <c r="F51" s="93" t="s">
        <v>362</v>
      </c>
      <c r="G51" s="94" t="s">
        <v>363</v>
      </c>
      <c r="H51" s="95">
        <v>4107.76</v>
      </c>
      <c r="I51" s="95">
        <f t="shared" si="0"/>
        <v>342.31333333333333</v>
      </c>
      <c r="J51" s="96">
        <f aca="true" t="shared" si="2" ref="J51:J68">I51/$E$9</f>
        <v>0.10270118908323583</v>
      </c>
    </row>
    <row r="52" spans="1:10" s="69" customFormat="1" ht="15" customHeight="1" hidden="1" outlineLevel="1" collapsed="1">
      <c r="A52" s="98" t="s">
        <v>499</v>
      </c>
      <c r="B52" s="99" t="s">
        <v>500</v>
      </c>
      <c r="C52" s="99" t="s">
        <v>364</v>
      </c>
      <c r="D52" s="146" t="s">
        <v>364</v>
      </c>
      <c r="E52" s="99" t="s">
        <v>364</v>
      </c>
      <c r="F52" s="99">
        <f>SUM(F53:F55)</f>
        <v>46.524</v>
      </c>
      <c r="G52" s="100">
        <v>36.14</v>
      </c>
      <c r="H52" s="100">
        <f>F52*G52</f>
        <v>1681.37736</v>
      </c>
      <c r="I52" s="100">
        <f t="shared" si="0"/>
        <v>140.11478</v>
      </c>
      <c r="J52" s="236">
        <f t="shared" si="2"/>
        <v>0.04203737661636314</v>
      </c>
    </row>
    <row r="53" spans="1:10" s="105" customFormat="1" ht="15" customHeight="1" hidden="1" outlineLevel="3">
      <c r="A53" s="136" t="s">
        <v>501</v>
      </c>
      <c r="B53" s="147" t="s">
        <v>502</v>
      </c>
      <c r="C53" s="147">
        <v>0.012</v>
      </c>
      <c r="D53" s="147">
        <v>1</v>
      </c>
      <c r="E53" s="112">
        <f>E12</f>
        <v>360</v>
      </c>
      <c r="F53" s="110">
        <f>C53*D53*E53</f>
        <v>4.32</v>
      </c>
      <c r="G53" s="111"/>
      <c r="H53" s="110"/>
      <c r="I53" s="148"/>
      <c r="J53" s="237">
        <f t="shared" si="2"/>
        <v>0</v>
      </c>
    </row>
    <row r="54" spans="1:10" s="105" customFormat="1" ht="15" customHeight="1" hidden="1" outlineLevel="3">
      <c r="A54" s="136" t="s">
        <v>503</v>
      </c>
      <c r="B54" s="147" t="s">
        <v>502</v>
      </c>
      <c r="C54" s="147">
        <v>0.012</v>
      </c>
      <c r="D54" s="147">
        <v>2</v>
      </c>
      <c r="E54" s="110">
        <f>E11</f>
        <v>950</v>
      </c>
      <c r="F54" s="110">
        <f>C54*D54*E54</f>
        <v>22.8</v>
      </c>
      <c r="G54" s="111"/>
      <c r="H54" s="148"/>
      <c r="I54" s="148"/>
      <c r="J54" s="237">
        <f t="shared" si="2"/>
        <v>0</v>
      </c>
    </row>
    <row r="55" spans="1:10" s="105" customFormat="1" ht="15" customHeight="1" hidden="1" outlineLevel="3">
      <c r="A55" s="136" t="s">
        <v>504</v>
      </c>
      <c r="B55" s="147" t="s">
        <v>379</v>
      </c>
      <c r="C55" s="147">
        <v>0.014</v>
      </c>
      <c r="D55" s="147">
        <v>2</v>
      </c>
      <c r="E55" s="110">
        <f>E19+E20</f>
        <v>693</v>
      </c>
      <c r="F55" s="110">
        <f>C55*D55*E55</f>
        <v>19.404</v>
      </c>
      <c r="G55" s="111"/>
      <c r="H55" s="148"/>
      <c r="I55" s="148"/>
      <c r="J55" s="237">
        <f t="shared" si="2"/>
        <v>0</v>
      </c>
    </row>
    <row r="56" spans="1:10" s="69" customFormat="1" ht="15" customHeight="1" hidden="1" outlineLevel="1">
      <c r="A56" s="106" t="s">
        <v>365</v>
      </c>
      <c r="B56" s="68" t="s">
        <v>364</v>
      </c>
      <c r="C56" s="68" t="s">
        <v>364</v>
      </c>
      <c r="D56" s="68" t="s">
        <v>364</v>
      </c>
      <c r="E56" s="68" t="s">
        <v>364</v>
      </c>
      <c r="F56" s="68">
        <f>H52</f>
        <v>1681.37736</v>
      </c>
      <c r="G56" s="107">
        <v>0.5</v>
      </c>
      <c r="H56" s="108">
        <f>F56*G56</f>
        <v>840.68868</v>
      </c>
      <c r="I56" s="108">
        <f aca="true" t="shared" si="3" ref="I56:I84">H56/12</f>
        <v>70.05739</v>
      </c>
      <c r="J56" s="237">
        <f t="shared" si="2"/>
        <v>0.02101868830818157</v>
      </c>
    </row>
    <row r="57" spans="1:10" s="69" customFormat="1" ht="15" customHeight="1" hidden="1" outlineLevel="1">
      <c r="A57" s="106" t="s">
        <v>366</v>
      </c>
      <c r="B57" s="68" t="s">
        <v>364</v>
      </c>
      <c r="C57" s="68" t="s">
        <v>364</v>
      </c>
      <c r="D57" s="68" t="s">
        <v>364</v>
      </c>
      <c r="E57" s="68" t="s">
        <v>364</v>
      </c>
      <c r="F57" s="68">
        <f>(H52+H56)</f>
        <v>2522.0660399999997</v>
      </c>
      <c r="G57" s="107">
        <v>0.12</v>
      </c>
      <c r="H57" s="108">
        <f>F57*G57</f>
        <v>302.64792479999994</v>
      </c>
      <c r="I57" s="108">
        <f t="shared" si="3"/>
        <v>25.220660399999996</v>
      </c>
      <c r="J57" s="237">
        <f t="shared" si="2"/>
        <v>0.007566727790945365</v>
      </c>
    </row>
    <row r="58" spans="1:10" s="69" customFormat="1" ht="15" customHeight="1" hidden="1" outlineLevel="1">
      <c r="A58" s="106" t="s">
        <v>367</v>
      </c>
      <c r="B58" s="68" t="s">
        <v>364</v>
      </c>
      <c r="C58" s="68" t="s">
        <v>364</v>
      </c>
      <c r="D58" s="68" t="s">
        <v>364</v>
      </c>
      <c r="E58" s="68" t="s">
        <v>364</v>
      </c>
      <c r="F58" s="68">
        <f>(H52+H56+H57)</f>
        <v>2824.7139647999998</v>
      </c>
      <c r="G58" s="107">
        <v>0.262</v>
      </c>
      <c r="H58" s="108">
        <f>F58*G58</f>
        <v>740.0750587776</v>
      </c>
      <c r="I58" s="108">
        <f t="shared" si="3"/>
        <v>61.6729215648</v>
      </c>
      <c r="J58" s="237">
        <f t="shared" si="2"/>
        <v>0.018503171691458403</v>
      </c>
    </row>
    <row r="59" spans="1:10" s="69" customFormat="1" ht="15" customHeight="1" hidden="1" outlineLevel="1" collapsed="1">
      <c r="A59" s="106" t="s">
        <v>60</v>
      </c>
      <c r="B59" s="68" t="s">
        <v>364</v>
      </c>
      <c r="C59" s="124" t="s">
        <v>364</v>
      </c>
      <c r="D59" s="124" t="s">
        <v>364</v>
      </c>
      <c r="E59" s="124" t="s">
        <v>364</v>
      </c>
      <c r="F59" s="68" t="s">
        <v>364</v>
      </c>
      <c r="G59" s="67" t="s">
        <v>364</v>
      </c>
      <c r="H59" s="108">
        <f>SUM(H60:H62)</f>
        <v>542.973</v>
      </c>
      <c r="I59" s="108">
        <f t="shared" si="3"/>
        <v>45.247749999999996</v>
      </c>
      <c r="J59" s="237">
        <f t="shared" si="2"/>
        <v>0.013575275269268848</v>
      </c>
    </row>
    <row r="60" spans="1:10" ht="15" customHeight="1" hidden="1" outlineLevel="2">
      <c r="A60" s="126" t="s">
        <v>505</v>
      </c>
      <c r="B60" s="120"/>
      <c r="C60" s="150">
        <v>0.0002</v>
      </c>
      <c r="D60" s="134">
        <v>2</v>
      </c>
      <c r="E60" s="120">
        <v>3755</v>
      </c>
      <c r="F60" s="120">
        <f>C60*D60*E60</f>
        <v>1.502</v>
      </c>
      <c r="G60" s="121">
        <v>120</v>
      </c>
      <c r="H60" s="121">
        <f>F60*G60</f>
        <v>180.24</v>
      </c>
      <c r="I60" s="121">
        <f t="shared" si="3"/>
        <v>15.020000000000001</v>
      </c>
      <c r="J60" s="237">
        <f t="shared" si="2"/>
        <v>0.004506315442080946</v>
      </c>
    </row>
    <row r="61" spans="1:10" ht="15" customHeight="1" hidden="1" outlineLevel="2">
      <c r="A61" s="126" t="s">
        <v>506</v>
      </c>
      <c r="B61" s="120"/>
      <c r="C61" s="150">
        <v>0.001</v>
      </c>
      <c r="D61" s="134">
        <v>2</v>
      </c>
      <c r="E61" s="120">
        <v>3755</v>
      </c>
      <c r="F61" s="120">
        <f>C61*D61*E61</f>
        <v>7.51</v>
      </c>
      <c r="G61" s="121">
        <v>23.3</v>
      </c>
      <c r="H61" s="121">
        <f>F61*G61</f>
        <v>174.983</v>
      </c>
      <c r="I61" s="121">
        <f t="shared" si="3"/>
        <v>14.581916666666666</v>
      </c>
      <c r="J61" s="237">
        <f t="shared" si="2"/>
        <v>0.0043748812416869185</v>
      </c>
    </row>
    <row r="62" spans="1:10" ht="15" customHeight="1" hidden="1" outlineLevel="2">
      <c r="A62" s="126" t="s">
        <v>507</v>
      </c>
      <c r="B62" s="120"/>
      <c r="C62" s="150">
        <v>0.0001</v>
      </c>
      <c r="D62" s="134">
        <v>2</v>
      </c>
      <c r="E62" s="120">
        <v>3755</v>
      </c>
      <c r="F62" s="120">
        <f>C62*D62*E62</f>
        <v>0.751</v>
      </c>
      <c r="G62" s="121">
        <v>250</v>
      </c>
      <c r="H62" s="121">
        <f>F62*G62</f>
        <v>187.75</v>
      </c>
      <c r="I62" s="121">
        <f t="shared" si="3"/>
        <v>15.645833333333334</v>
      </c>
      <c r="J62" s="237">
        <f t="shared" si="2"/>
        <v>0.004694078585500985</v>
      </c>
    </row>
    <row r="63" spans="1:10" s="69" customFormat="1" ht="15" customHeight="1" hidden="1" outlineLevel="1">
      <c r="A63" s="106" t="s">
        <v>508</v>
      </c>
      <c r="B63" s="68" t="s">
        <v>364</v>
      </c>
      <c r="C63" s="124" t="s">
        <v>364</v>
      </c>
      <c r="D63" s="124" t="s">
        <v>364</v>
      </c>
      <c r="E63" s="124" t="s">
        <v>364</v>
      </c>
      <c r="F63" s="68" t="s">
        <v>364</v>
      </c>
      <c r="G63" s="67" t="s">
        <v>364</v>
      </c>
      <c r="H63" s="108">
        <v>0</v>
      </c>
      <c r="I63" s="108">
        <f t="shared" si="3"/>
        <v>0</v>
      </c>
      <c r="J63" s="237">
        <f t="shared" si="2"/>
        <v>0</v>
      </c>
    </row>
    <row r="64" spans="1:10" s="69" customFormat="1" ht="30" customHeight="1" collapsed="1" thickBot="1">
      <c r="A64" s="92" t="s">
        <v>531</v>
      </c>
      <c r="B64" s="93" t="s">
        <v>359</v>
      </c>
      <c r="C64" s="93" t="s">
        <v>360</v>
      </c>
      <c r="D64" s="93" t="s">
        <v>361</v>
      </c>
      <c r="E64" s="93" t="s">
        <v>329</v>
      </c>
      <c r="F64" s="93" t="s">
        <v>362</v>
      </c>
      <c r="G64" s="94" t="s">
        <v>363</v>
      </c>
      <c r="H64" s="95">
        <v>137181.9</v>
      </c>
      <c r="I64" s="95">
        <f t="shared" si="3"/>
        <v>11431.824999999999</v>
      </c>
      <c r="J64" s="96">
        <f t="shared" si="2"/>
        <v>3.429787585130959</v>
      </c>
    </row>
    <row r="65" spans="1:10" s="69" customFormat="1" ht="31.5" thickBot="1">
      <c r="A65" s="183" t="s">
        <v>286</v>
      </c>
      <c r="B65" s="184"/>
      <c r="C65" s="184"/>
      <c r="D65" s="184" t="s">
        <v>361</v>
      </c>
      <c r="E65" s="184" t="s">
        <v>329</v>
      </c>
      <c r="F65" s="184" t="s">
        <v>362</v>
      </c>
      <c r="G65" s="185" t="s">
        <v>363</v>
      </c>
      <c r="H65" s="186">
        <v>185557.92</v>
      </c>
      <c r="I65" s="186">
        <f t="shared" si="3"/>
        <v>15463.160000000002</v>
      </c>
      <c r="J65" s="187">
        <f t="shared" si="2"/>
        <v>4.639272749092437</v>
      </c>
    </row>
    <row r="66" spans="1:10" s="69" customFormat="1" ht="15" customHeight="1">
      <c r="A66" s="98" t="s">
        <v>276</v>
      </c>
      <c r="B66" s="99" t="s">
        <v>364</v>
      </c>
      <c r="C66" s="99" t="s">
        <v>364</v>
      </c>
      <c r="D66" s="160">
        <v>12</v>
      </c>
      <c r="E66" s="99">
        <f>E9</f>
        <v>3333.1</v>
      </c>
      <c r="F66" s="99">
        <f>D66*E66</f>
        <v>39997.2</v>
      </c>
      <c r="G66" s="146">
        <v>0.44</v>
      </c>
      <c r="H66" s="100">
        <f>F66*G66</f>
        <v>17598.768</v>
      </c>
      <c r="I66" s="100">
        <f t="shared" si="3"/>
        <v>1466.564</v>
      </c>
      <c r="J66" s="236">
        <f t="shared" si="2"/>
        <v>0.44000000000000006</v>
      </c>
    </row>
    <row r="67" spans="1:10" s="69" customFormat="1" ht="15" customHeight="1">
      <c r="A67" s="106" t="s">
        <v>277</v>
      </c>
      <c r="B67" s="68" t="s">
        <v>364</v>
      </c>
      <c r="C67" s="68" t="s">
        <v>364</v>
      </c>
      <c r="D67" s="67">
        <v>12</v>
      </c>
      <c r="E67" s="68">
        <f>E11</f>
        <v>950</v>
      </c>
      <c r="F67" s="68">
        <f>D67*E67</f>
        <v>11400</v>
      </c>
      <c r="G67" s="139">
        <v>0</v>
      </c>
      <c r="H67" s="108">
        <f aca="true" t="shared" si="4" ref="H67:H79">F67*G67</f>
        <v>0</v>
      </c>
      <c r="I67" s="108">
        <f t="shared" si="3"/>
        <v>0</v>
      </c>
      <c r="J67" s="237">
        <f t="shared" si="2"/>
        <v>0</v>
      </c>
    </row>
    <row r="68" spans="1:10" s="69" customFormat="1" ht="15" customHeight="1">
      <c r="A68" s="106" t="s">
        <v>278</v>
      </c>
      <c r="B68" s="68" t="s">
        <v>364</v>
      </c>
      <c r="C68" s="68" t="s">
        <v>364</v>
      </c>
      <c r="D68" s="67">
        <v>1</v>
      </c>
      <c r="E68" s="68">
        <f>E11</f>
        <v>950</v>
      </c>
      <c r="F68" s="68">
        <f>D68*E68</f>
        <v>950</v>
      </c>
      <c r="G68" s="139">
        <v>3.12</v>
      </c>
      <c r="H68" s="108">
        <f>F68*G68</f>
        <v>2964</v>
      </c>
      <c r="I68" s="108">
        <f t="shared" si="3"/>
        <v>247</v>
      </c>
      <c r="J68" s="237">
        <f t="shared" si="2"/>
        <v>0.07410518736311542</v>
      </c>
    </row>
    <row r="69" spans="1:10" s="69" customFormat="1" ht="15" customHeight="1">
      <c r="A69" s="106" t="s">
        <v>285</v>
      </c>
      <c r="B69" s="68" t="s">
        <v>364</v>
      </c>
      <c r="C69" s="68" t="s">
        <v>364</v>
      </c>
      <c r="D69" s="67">
        <v>12</v>
      </c>
      <c r="E69" s="68">
        <f>E10</f>
        <v>70</v>
      </c>
      <c r="F69" s="68">
        <v>0</v>
      </c>
      <c r="G69" s="139">
        <v>25</v>
      </c>
      <c r="H69" s="108">
        <f t="shared" si="4"/>
        <v>0</v>
      </c>
      <c r="I69" s="108">
        <f t="shared" si="3"/>
        <v>0</v>
      </c>
      <c r="J69" s="237">
        <f aca="true" t="shared" si="5" ref="J69:J84">I69/$E$9</f>
        <v>0</v>
      </c>
    </row>
    <row r="70" spans="1:10" s="69" customFormat="1" ht="15" customHeight="1">
      <c r="A70" s="106" t="s">
        <v>290</v>
      </c>
      <c r="B70" s="68" t="s">
        <v>364</v>
      </c>
      <c r="C70" s="68" t="s">
        <v>364</v>
      </c>
      <c r="D70" s="67">
        <v>12</v>
      </c>
      <c r="E70" s="68">
        <v>30.8</v>
      </c>
      <c r="F70" s="68">
        <f>D70*E70</f>
        <v>369.6</v>
      </c>
      <c r="G70" s="139">
        <v>265.62</v>
      </c>
      <c r="H70" s="108">
        <f t="shared" si="4"/>
        <v>98173.152</v>
      </c>
      <c r="I70" s="108">
        <f t="shared" si="3"/>
        <v>8181.0960000000005</v>
      </c>
      <c r="J70" s="237">
        <f t="shared" si="5"/>
        <v>2.4545006150430533</v>
      </c>
    </row>
    <row r="71" spans="1:10" s="69" customFormat="1" ht="15" customHeight="1">
      <c r="A71" s="106" t="s">
        <v>291</v>
      </c>
      <c r="B71" s="68" t="s">
        <v>364</v>
      </c>
      <c r="C71" s="68" t="s">
        <v>364</v>
      </c>
      <c r="D71" s="67">
        <v>12</v>
      </c>
      <c r="E71" s="68">
        <v>0</v>
      </c>
      <c r="F71" s="68">
        <f aca="true" t="shared" si="6" ref="F71:F79">D71*E71</f>
        <v>0</v>
      </c>
      <c r="G71" s="139">
        <f>216.11*1.18</f>
        <v>255.0098</v>
      </c>
      <c r="H71" s="108">
        <f t="shared" si="4"/>
        <v>0</v>
      </c>
      <c r="I71" s="108">
        <f t="shared" si="3"/>
        <v>0</v>
      </c>
      <c r="J71" s="237">
        <f t="shared" si="5"/>
        <v>0</v>
      </c>
    </row>
    <row r="72" spans="1:10" s="69" customFormat="1" ht="15" customHeight="1">
      <c r="A72" s="106" t="s">
        <v>297</v>
      </c>
      <c r="B72" s="68" t="s">
        <v>364</v>
      </c>
      <c r="C72" s="68" t="s">
        <v>364</v>
      </c>
      <c r="D72" s="67">
        <v>1</v>
      </c>
      <c r="E72" s="68">
        <f>E30</f>
        <v>140</v>
      </c>
      <c r="F72" s="68">
        <f>E72*D72</f>
        <v>140</v>
      </c>
      <c r="G72" s="139">
        <v>11</v>
      </c>
      <c r="H72" s="108">
        <f>F72*G72</f>
        <v>1540</v>
      </c>
      <c r="I72" s="108">
        <f t="shared" si="3"/>
        <v>128.33333333333334</v>
      </c>
      <c r="J72" s="237">
        <f t="shared" si="5"/>
        <v>0.038502695188663213</v>
      </c>
    </row>
    <row r="73" spans="1:10" s="69" customFormat="1" ht="15" customHeight="1">
      <c r="A73" s="106" t="s">
        <v>298</v>
      </c>
      <c r="B73" s="68" t="s">
        <v>364</v>
      </c>
      <c r="C73" s="68" t="s">
        <v>364</v>
      </c>
      <c r="D73" s="67">
        <v>4</v>
      </c>
      <c r="E73" s="68">
        <f>E31</f>
        <v>140</v>
      </c>
      <c r="F73" s="68">
        <f>E73*D73</f>
        <v>560</v>
      </c>
      <c r="G73" s="139">
        <v>19</v>
      </c>
      <c r="H73" s="108">
        <f>F73*G73</f>
        <v>10640</v>
      </c>
      <c r="I73" s="108">
        <f t="shared" si="3"/>
        <v>886.6666666666666</v>
      </c>
      <c r="J73" s="237">
        <f t="shared" si="5"/>
        <v>0.26601862130349124</v>
      </c>
    </row>
    <row r="74" spans="1:10" s="69" customFormat="1" ht="15" customHeight="1">
      <c r="A74" s="106" t="s">
        <v>279</v>
      </c>
      <c r="B74" s="68" t="s">
        <v>364</v>
      </c>
      <c r="C74" s="68" t="s">
        <v>364</v>
      </c>
      <c r="D74" s="67">
        <v>0</v>
      </c>
      <c r="E74" s="68">
        <v>70</v>
      </c>
      <c r="F74" s="68">
        <f t="shared" si="6"/>
        <v>0</v>
      </c>
      <c r="G74" s="139">
        <f>11.5+15.28</f>
        <v>26.78</v>
      </c>
      <c r="H74" s="108">
        <f t="shared" si="4"/>
        <v>0</v>
      </c>
      <c r="I74" s="108">
        <f t="shared" si="3"/>
        <v>0</v>
      </c>
      <c r="J74" s="237">
        <f t="shared" si="5"/>
        <v>0</v>
      </c>
    </row>
    <row r="75" spans="1:10" s="69" customFormat="1" ht="15" customHeight="1">
      <c r="A75" s="106" t="s">
        <v>295</v>
      </c>
      <c r="B75" s="68" t="s">
        <v>364</v>
      </c>
      <c r="C75" s="68" t="s">
        <v>364</v>
      </c>
      <c r="D75" s="67">
        <v>12</v>
      </c>
      <c r="E75" s="68">
        <v>200</v>
      </c>
      <c r="F75" s="68">
        <f t="shared" si="6"/>
        <v>2400</v>
      </c>
      <c r="G75" s="139">
        <v>2.77</v>
      </c>
      <c r="H75" s="108">
        <f t="shared" si="4"/>
        <v>6648</v>
      </c>
      <c r="I75" s="108">
        <f t="shared" si="3"/>
        <v>554</v>
      </c>
      <c r="J75" s="237">
        <f t="shared" si="5"/>
        <v>0.16621163481443701</v>
      </c>
    </row>
    <row r="76" spans="1:10" s="69" customFormat="1" ht="15" customHeight="1">
      <c r="A76" s="106" t="s">
        <v>296</v>
      </c>
      <c r="B76" s="68" t="s">
        <v>364</v>
      </c>
      <c r="C76" s="68" t="s">
        <v>364</v>
      </c>
      <c r="D76" s="67">
        <v>12</v>
      </c>
      <c r="E76" s="68">
        <v>300</v>
      </c>
      <c r="F76" s="68">
        <f t="shared" si="6"/>
        <v>3600</v>
      </c>
      <c r="G76" s="139">
        <v>1.28</v>
      </c>
      <c r="H76" s="108">
        <f t="shared" si="4"/>
        <v>4608</v>
      </c>
      <c r="I76" s="108">
        <f t="shared" si="3"/>
        <v>384</v>
      </c>
      <c r="J76" s="237">
        <f t="shared" si="5"/>
        <v>0.11520806456451951</v>
      </c>
    </row>
    <row r="77" spans="1:10" s="69" customFormat="1" ht="15" customHeight="1">
      <c r="A77" s="106" t="s">
        <v>293</v>
      </c>
      <c r="B77" s="68" t="s">
        <v>364</v>
      </c>
      <c r="C77" s="68" t="s">
        <v>364</v>
      </c>
      <c r="D77" s="67">
        <v>12</v>
      </c>
      <c r="E77" s="68">
        <f>IF(E34=0,E10,0)</f>
        <v>70</v>
      </c>
      <c r="F77" s="68">
        <f t="shared" si="6"/>
        <v>840</v>
      </c>
      <c r="G77" s="139">
        <v>51.65</v>
      </c>
      <c r="H77" s="108">
        <f t="shared" si="4"/>
        <v>43386</v>
      </c>
      <c r="I77" s="108">
        <f t="shared" si="3"/>
        <v>3615.5</v>
      </c>
      <c r="J77" s="237">
        <f t="shared" si="5"/>
        <v>1.0847259308151571</v>
      </c>
    </row>
    <row r="78" spans="1:10" s="69" customFormat="1" ht="15" customHeight="1">
      <c r="A78" s="106" t="s">
        <v>292</v>
      </c>
      <c r="B78" s="68" t="s">
        <v>364</v>
      </c>
      <c r="C78" s="68" t="s">
        <v>364</v>
      </c>
      <c r="D78" s="67">
        <v>0</v>
      </c>
      <c r="E78" s="68">
        <f>E10</f>
        <v>70</v>
      </c>
      <c r="F78" s="68">
        <f>D78*E78</f>
        <v>0</v>
      </c>
      <c r="G78" s="139">
        <f>51.65+4.6*1.07</f>
        <v>56.571999999999996</v>
      </c>
      <c r="H78" s="108">
        <f>F78*G78</f>
        <v>0</v>
      </c>
      <c r="I78" s="108">
        <f>H78/12</f>
        <v>0</v>
      </c>
      <c r="J78" s="237">
        <f t="shared" si="5"/>
        <v>0</v>
      </c>
    </row>
    <row r="79" spans="1:10" s="69" customFormat="1" ht="15" customHeight="1" thickBot="1">
      <c r="A79" s="106" t="s">
        <v>280</v>
      </c>
      <c r="B79" s="68" t="s">
        <v>364</v>
      </c>
      <c r="C79" s="68" t="s">
        <v>364</v>
      </c>
      <c r="D79" s="67">
        <v>12</v>
      </c>
      <c r="E79" s="68">
        <v>0</v>
      </c>
      <c r="F79" s="68">
        <f t="shared" si="6"/>
        <v>0</v>
      </c>
      <c r="G79" s="139">
        <v>0</v>
      </c>
      <c r="H79" s="108">
        <f t="shared" si="4"/>
        <v>0</v>
      </c>
      <c r="I79" s="108">
        <f t="shared" si="3"/>
        <v>0</v>
      </c>
      <c r="J79" s="237">
        <f t="shared" si="5"/>
        <v>0</v>
      </c>
    </row>
    <row r="80" spans="1:10" s="69" customFormat="1" ht="15" customHeight="1">
      <c r="A80" s="232" t="s">
        <v>283</v>
      </c>
      <c r="B80" s="233"/>
      <c r="C80" s="233"/>
      <c r="D80" s="233"/>
      <c r="E80" s="233"/>
      <c r="F80" s="233"/>
      <c r="G80" s="221"/>
      <c r="H80" s="240">
        <v>701946.91</v>
      </c>
      <c r="I80" s="240">
        <f t="shared" si="3"/>
        <v>58495.575833333336</v>
      </c>
      <c r="J80" s="236">
        <f t="shared" si="5"/>
        <v>17.549901243087017</v>
      </c>
    </row>
    <row r="81" spans="1:10" s="69" customFormat="1" ht="15" customHeight="1">
      <c r="A81" s="183" t="s">
        <v>272</v>
      </c>
      <c r="B81" s="184"/>
      <c r="C81" s="184"/>
      <c r="D81" s="184"/>
      <c r="E81" s="184"/>
      <c r="F81" s="184"/>
      <c r="G81" s="185">
        <v>0.07</v>
      </c>
      <c r="H81" s="241">
        <f>H80*G81</f>
        <v>49136.28370000001</v>
      </c>
      <c r="I81" s="241">
        <f t="shared" si="3"/>
        <v>4094.690308333334</v>
      </c>
      <c r="J81" s="237">
        <f t="shared" si="5"/>
        <v>1.2284930870160913</v>
      </c>
    </row>
    <row r="82" spans="1:10" ht="15" customHeight="1">
      <c r="A82" s="183" t="s">
        <v>525</v>
      </c>
      <c r="B82" s="184"/>
      <c r="C82" s="184"/>
      <c r="D82" s="184">
        <v>12</v>
      </c>
      <c r="E82" s="184">
        <f>E9</f>
        <v>3333.1</v>
      </c>
      <c r="F82" s="184">
        <f>D82*E82</f>
        <v>39997.2</v>
      </c>
      <c r="G82" s="185">
        <v>3</v>
      </c>
      <c r="H82" s="241">
        <f>F82*G82</f>
        <v>119991.59999999999</v>
      </c>
      <c r="I82" s="241">
        <f>H82/12</f>
        <v>9999.3</v>
      </c>
      <c r="J82" s="237">
        <f t="shared" si="5"/>
        <v>3</v>
      </c>
    </row>
    <row r="83" spans="1:10" s="69" customFormat="1" ht="15" customHeight="1">
      <c r="A83" s="183" t="s">
        <v>281</v>
      </c>
      <c r="B83" s="184"/>
      <c r="C83" s="184"/>
      <c r="D83" s="184">
        <v>12</v>
      </c>
      <c r="E83" s="184">
        <f>E9</f>
        <v>3333.1</v>
      </c>
      <c r="F83" s="184">
        <f>D83*E83</f>
        <v>39997.2</v>
      </c>
      <c r="G83" s="186">
        <v>22</v>
      </c>
      <c r="H83" s="241">
        <f>F83*G83</f>
        <v>879938.3999999999</v>
      </c>
      <c r="I83" s="241">
        <f t="shared" si="3"/>
        <v>73328.2</v>
      </c>
      <c r="J83" s="237">
        <f t="shared" si="5"/>
        <v>22</v>
      </c>
    </row>
    <row r="84" spans="1:10" s="69" customFormat="1" ht="15" customHeight="1" thickBot="1">
      <c r="A84" s="183" t="s">
        <v>284</v>
      </c>
      <c r="B84" s="184"/>
      <c r="C84" s="184"/>
      <c r="D84" s="184"/>
      <c r="E84" s="184"/>
      <c r="F84" s="184"/>
      <c r="G84" s="185">
        <v>0.01</v>
      </c>
      <c r="H84" s="241">
        <f>H83*G84</f>
        <v>8799.384</v>
      </c>
      <c r="I84" s="241">
        <f t="shared" si="3"/>
        <v>733.282</v>
      </c>
      <c r="J84" s="237">
        <f t="shared" si="5"/>
        <v>0.22000000000000003</v>
      </c>
    </row>
    <row r="85" spans="1:10" ht="21.75" customHeight="1" thickBot="1">
      <c r="A85" s="437" t="s">
        <v>302</v>
      </c>
      <c r="B85" s="438"/>
      <c r="C85" s="438"/>
      <c r="D85" s="438"/>
      <c r="E85" s="438"/>
      <c r="F85" s="438"/>
      <c r="G85" s="438"/>
      <c r="H85" s="438"/>
      <c r="I85" s="438"/>
      <c r="J85" s="96">
        <f>J44+J45+J46+J51+J64+J65+J81+J82+J84</f>
        <v>21.998394330103107</v>
      </c>
    </row>
    <row r="86" spans="1:10" ht="21.75" customHeight="1">
      <c r="A86" s="222"/>
      <c r="B86" s="222"/>
      <c r="C86" s="222"/>
      <c r="D86" s="222"/>
      <c r="E86" s="222"/>
      <c r="F86" s="222"/>
      <c r="G86" s="222"/>
      <c r="H86" s="222"/>
      <c r="I86" s="222"/>
      <c r="J86" s="186"/>
    </row>
    <row r="87" spans="1:10" ht="15" customHeight="1">
      <c r="A87" s="165" t="s">
        <v>509</v>
      </c>
      <c r="B87" s="166"/>
      <c r="C87" s="166"/>
      <c r="D87" s="166"/>
      <c r="E87" s="167"/>
      <c r="F87" s="167"/>
      <c r="G87" s="166"/>
      <c r="H87" s="168"/>
      <c r="I87" s="169" t="s">
        <v>510</v>
      </c>
      <c r="J87" s="72"/>
    </row>
    <row r="88" spans="1:10" ht="15" customHeight="1">
      <c r="A88" s="170"/>
      <c r="B88" s="166"/>
      <c r="C88" s="166"/>
      <c r="D88" s="166"/>
      <c r="E88" s="167"/>
      <c r="F88" s="167"/>
      <c r="G88" s="166"/>
      <c r="H88" s="171">
        <v>40541</v>
      </c>
      <c r="I88" s="169"/>
      <c r="J88" s="72"/>
    </row>
    <row r="89" spans="1:10" ht="15" customHeight="1">
      <c r="A89" s="170"/>
      <c r="B89" s="166"/>
      <c r="C89" s="166"/>
      <c r="D89" s="166"/>
      <c r="E89" s="167"/>
      <c r="F89" s="167"/>
      <c r="G89" s="166"/>
      <c r="H89" s="171"/>
      <c r="I89" s="169"/>
      <c r="J89" s="72"/>
    </row>
    <row r="90" spans="1:10" ht="15" customHeight="1">
      <c r="A90" s="170"/>
      <c r="B90" s="166"/>
      <c r="C90" s="166"/>
      <c r="D90" s="166"/>
      <c r="E90" s="167"/>
      <c r="F90" s="167"/>
      <c r="G90" s="166"/>
      <c r="H90" s="171"/>
      <c r="I90" s="169"/>
      <c r="J90" s="72"/>
    </row>
    <row r="91" spans="1:9" s="69" customFormat="1" ht="15" customHeight="1">
      <c r="A91" s="70" t="s">
        <v>511</v>
      </c>
      <c r="B91" s="67"/>
      <c r="C91" s="67"/>
      <c r="D91" s="67"/>
      <c r="E91" s="68"/>
      <c r="F91" s="68"/>
      <c r="G91" s="67"/>
      <c r="H91" s="108">
        <f>H83-H80-H81-H82-H84</f>
        <v>64.22229999988303</v>
      </c>
      <c r="I91" s="108">
        <f>H91/12</f>
        <v>5.3518583333235865</v>
      </c>
    </row>
  </sheetData>
  <mergeCells count="7">
    <mergeCell ref="B7:C7"/>
    <mergeCell ref="A43:F43"/>
    <mergeCell ref="A85:I85"/>
    <mergeCell ref="G1:J1"/>
    <mergeCell ref="G2:J2"/>
    <mergeCell ref="G3:J3"/>
    <mergeCell ref="A6:I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3"/>
  <sheetViews>
    <sheetView workbookViewId="0" topLeftCell="A1">
      <selection activeCell="M44" sqref="M44"/>
    </sheetView>
  </sheetViews>
  <sheetFormatPr defaultColWidth="9.00390625" defaultRowHeight="15" customHeight="1" outlineLevelRow="4" outlineLevelCol="1"/>
  <cols>
    <col min="1" max="1" width="72.125" style="72" customWidth="1" collapsed="1"/>
    <col min="2" max="4" width="11.375" style="163" hidden="1" customWidth="1" outlineLevel="1"/>
    <col min="5" max="5" width="11.375" style="128" hidden="1" customWidth="1" outlineLevel="1"/>
    <col min="6" max="6" width="12.625" style="128" hidden="1" customWidth="1" outlineLevel="1"/>
    <col min="7" max="7" width="11.375" style="163" hidden="1" customWidth="1" outlineLevel="1"/>
    <col min="8" max="8" width="17.50390625" style="164" customWidth="1" collapsed="1"/>
    <col min="9" max="9" width="17.125" style="164" customWidth="1"/>
    <col min="10" max="10" width="18.625" style="69" customWidth="1"/>
    <col min="11" max="16384" width="9.125" style="72" customWidth="1"/>
  </cols>
  <sheetData>
    <row r="1" spans="1:10" s="69" customFormat="1" ht="15" customHeight="1">
      <c r="A1" s="66" t="s">
        <v>323</v>
      </c>
      <c r="B1" s="67"/>
      <c r="C1" s="67"/>
      <c r="D1" s="67"/>
      <c r="E1" s="68"/>
      <c r="F1" s="68"/>
      <c r="G1" s="439" t="s">
        <v>323</v>
      </c>
      <c r="H1" s="439"/>
      <c r="I1" s="439"/>
      <c r="J1" s="439"/>
    </row>
    <row r="2" spans="1:10" s="69" customFormat="1" ht="15" customHeight="1">
      <c r="A2" s="69" t="s">
        <v>324</v>
      </c>
      <c r="B2" s="67"/>
      <c r="C2" s="67"/>
      <c r="D2" s="67"/>
      <c r="E2" s="68"/>
      <c r="F2" s="68"/>
      <c r="G2" s="439" t="s">
        <v>325</v>
      </c>
      <c r="H2" s="439"/>
      <c r="I2" s="439"/>
      <c r="J2" s="439"/>
    </row>
    <row r="3" spans="1:10" s="69" customFormat="1" ht="15" customHeight="1">
      <c r="A3" s="69" t="s">
        <v>326</v>
      </c>
      <c r="B3" s="67"/>
      <c r="C3" s="67"/>
      <c r="D3" s="67"/>
      <c r="E3" s="68"/>
      <c r="F3" s="68"/>
      <c r="G3" s="439" t="s">
        <v>327</v>
      </c>
      <c r="H3" s="439"/>
      <c r="I3" s="439"/>
      <c r="J3" s="439"/>
    </row>
    <row r="4" spans="2:10" s="69" customFormat="1" ht="15" customHeight="1">
      <c r="B4" s="67"/>
      <c r="C4" s="67"/>
      <c r="D4" s="67"/>
      <c r="E4" s="68"/>
      <c r="F4" s="68"/>
      <c r="G4" s="70"/>
      <c r="H4" s="70"/>
      <c r="I4" s="70"/>
      <c r="J4" s="70"/>
    </row>
    <row r="5" spans="2:10" s="69" customFormat="1" ht="15" customHeight="1">
      <c r="B5" s="67"/>
      <c r="C5" s="67"/>
      <c r="D5" s="67"/>
      <c r="E5" s="68"/>
      <c r="F5" s="68"/>
      <c r="G5" s="70"/>
      <c r="H5" s="70"/>
      <c r="I5" s="70"/>
      <c r="J5" s="70"/>
    </row>
    <row r="6" spans="1:9" ht="18" customHeight="1" collapsed="1">
      <c r="A6" s="419" t="s">
        <v>563</v>
      </c>
      <c r="B6" s="419"/>
      <c r="C6" s="419"/>
      <c r="D6" s="419"/>
      <c r="E6" s="419"/>
      <c r="F6" s="419"/>
      <c r="G6" s="419"/>
      <c r="H6" s="419"/>
      <c r="I6" s="419"/>
    </row>
    <row r="7" spans="1:9" s="69" customFormat="1" ht="15" customHeight="1" hidden="1" outlineLevel="1">
      <c r="A7" s="173" t="s">
        <v>328</v>
      </c>
      <c r="B7" s="420"/>
      <c r="C7" s="420"/>
      <c r="D7" s="73"/>
      <c r="E7" s="74" t="s">
        <v>329</v>
      </c>
      <c r="F7" s="74"/>
      <c r="G7" s="75"/>
      <c r="H7" s="62" t="s">
        <v>288</v>
      </c>
      <c r="I7" s="71" t="s">
        <v>330</v>
      </c>
    </row>
    <row r="8" spans="1:9" s="69" customFormat="1" ht="15" customHeight="1" hidden="1" outlineLevel="1">
      <c r="A8" s="76" t="s">
        <v>331</v>
      </c>
      <c r="B8" s="77">
        <v>1975</v>
      </c>
      <c r="C8" s="77">
        <v>2011</v>
      </c>
      <c r="D8" s="77"/>
      <c r="E8" s="78">
        <f>C8-B8</f>
        <v>36</v>
      </c>
      <c r="F8" s="78"/>
      <c r="G8" s="78"/>
      <c r="H8" s="79"/>
      <c r="I8" s="80"/>
    </row>
    <row r="9" spans="1:9" s="69" customFormat="1" ht="15" customHeight="1" hidden="1" outlineLevel="1">
      <c r="A9" s="81" t="s">
        <v>332</v>
      </c>
      <c r="B9" s="82"/>
      <c r="C9" s="82"/>
      <c r="D9" s="82"/>
      <c r="E9" s="82">
        <v>3327</v>
      </c>
      <c r="F9" s="82"/>
      <c r="G9" s="83"/>
      <c r="H9" s="84"/>
      <c r="I9" s="85"/>
    </row>
    <row r="10" spans="1:9" s="69" customFormat="1" ht="15" customHeight="1" hidden="1" outlineLevel="1">
      <c r="A10" s="81" t="s">
        <v>25</v>
      </c>
      <c r="B10" s="82"/>
      <c r="C10" s="82"/>
      <c r="D10" s="82"/>
      <c r="E10" s="82">
        <v>70</v>
      </c>
      <c r="F10" s="82"/>
      <c r="G10" s="83"/>
      <c r="H10" s="84"/>
      <c r="I10" s="85"/>
    </row>
    <row r="11" spans="1:9" s="69" customFormat="1" ht="15" customHeight="1" hidden="1" outlineLevel="1">
      <c r="A11" s="81" t="s">
        <v>333</v>
      </c>
      <c r="B11" s="82"/>
      <c r="C11" s="82"/>
      <c r="D11" s="82"/>
      <c r="E11" s="82">
        <v>837</v>
      </c>
      <c r="F11" s="82"/>
      <c r="G11" s="83"/>
      <c r="H11" s="84"/>
      <c r="I11" s="85"/>
    </row>
    <row r="12" spans="1:9" s="69" customFormat="1" ht="15" customHeight="1" hidden="1" outlineLevel="1">
      <c r="A12" s="81" t="s">
        <v>334</v>
      </c>
      <c r="B12" s="82"/>
      <c r="C12" s="82"/>
      <c r="D12" s="82"/>
      <c r="E12" s="82">
        <v>837</v>
      </c>
      <c r="F12" s="82"/>
      <c r="G12" s="83"/>
      <c r="H12" s="84"/>
      <c r="I12" s="85"/>
    </row>
    <row r="13" spans="1:9" s="69" customFormat="1" ht="15" customHeight="1" hidden="1" outlineLevel="1">
      <c r="A13" s="81" t="s">
        <v>335</v>
      </c>
      <c r="B13" s="82"/>
      <c r="C13" s="82"/>
      <c r="D13" s="82"/>
      <c r="E13" s="82">
        <v>12048</v>
      </c>
      <c r="F13" s="82"/>
      <c r="G13" s="83"/>
      <c r="H13" s="84"/>
      <c r="I13" s="85"/>
    </row>
    <row r="14" spans="1:9" s="69" customFormat="1" ht="15" customHeight="1" hidden="1" outlineLevel="1">
      <c r="A14" s="81" t="s">
        <v>336</v>
      </c>
      <c r="B14" s="82"/>
      <c r="C14" s="82"/>
      <c r="D14" s="82"/>
      <c r="E14" s="82">
        <v>0</v>
      </c>
      <c r="F14" s="82"/>
      <c r="G14" s="83"/>
      <c r="H14" s="84"/>
      <c r="I14" s="85"/>
    </row>
    <row r="15" spans="1:9" s="69" customFormat="1" ht="15" customHeight="1" hidden="1" outlineLevel="1">
      <c r="A15" s="81" t="s">
        <v>337</v>
      </c>
      <c r="B15" s="82"/>
      <c r="C15" s="82"/>
      <c r="D15" s="82"/>
      <c r="E15" s="82">
        <v>330</v>
      </c>
      <c r="F15" s="82"/>
      <c r="G15" s="83"/>
      <c r="H15" s="84"/>
      <c r="I15" s="85"/>
    </row>
    <row r="16" spans="1:9" s="69" customFormat="1" ht="15" customHeight="1" hidden="1" outlineLevel="1">
      <c r="A16" s="81" t="s">
        <v>338</v>
      </c>
      <c r="B16" s="82"/>
      <c r="C16" s="82"/>
      <c r="D16" s="82"/>
      <c r="E16" s="82">
        <v>404</v>
      </c>
      <c r="F16" s="82"/>
      <c r="G16" s="83"/>
      <c r="H16" s="84"/>
      <c r="I16" s="85"/>
    </row>
    <row r="17" spans="1:9" ht="15" customHeight="1" hidden="1" outlineLevel="1">
      <c r="A17" s="81" t="s">
        <v>339</v>
      </c>
      <c r="B17" s="82"/>
      <c r="C17" s="82"/>
      <c r="D17" s="82"/>
      <c r="E17" s="82"/>
      <c r="F17" s="82"/>
      <c r="G17" s="83"/>
      <c r="H17" s="84"/>
      <c r="I17" s="85"/>
    </row>
    <row r="18" spans="1:9" ht="15" customHeight="1" hidden="1" outlineLevel="1">
      <c r="A18" s="81" t="s">
        <v>340</v>
      </c>
      <c r="B18" s="82"/>
      <c r="C18" s="82"/>
      <c r="D18" s="82"/>
      <c r="E18" s="82"/>
      <c r="F18" s="82"/>
      <c r="G18" s="83"/>
      <c r="H18" s="84"/>
      <c r="I18" s="85"/>
    </row>
    <row r="19" spans="1:9" ht="15" customHeight="1" hidden="1" outlineLevel="1">
      <c r="A19" s="81" t="s">
        <v>341</v>
      </c>
      <c r="B19" s="82"/>
      <c r="C19" s="82"/>
      <c r="D19" s="82"/>
      <c r="E19" s="82">
        <v>856</v>
      </c>
      <c r="F19" s="82"/>
      <c r="G19" s="83"/>
      <c r="H19" s="84"/>
      <c r="I19" s="85"/>
    </row>
    <row r="20" spans="1:9" ht="15" customHeight="1" hidden="1" outlineLevel="1">
      <c r="A20" s="81" t="s">
        <v>342</v>
      </c>
      <c r="B20" s="82"/>
      <c r="C20" s="82"/>
      <c r="D20" s="82"/>
      <c r="E20" s="82">
        <v>286</v>
      </c>
      <c r="F20" s="82"/>
      <c r="G20" s="83"/>
      <c r="H20" s="84"/>
      <c r="I20" s="85"/>
    </row>
    <row r="21" spans="1:9" ht="15" customHeight="1" hidden="1" outlineLevel="1">
      <c r="A21" s="81" t="s">
        <v>343</v>
      </c>
      <c r="B21" s="82"/>
      <c r="C21" s="82"/>
      <c r="D21" s="82"/>
      <c r="E21" s="82"/>
      <c r="F21" s="82"/>
      <c r="G21" s="83"/>
      <c r="H21" s="84"/>
      <c r="I21" s="85"/>
    </row>
    <row r="22" spans="1:9" ht="15" customHeight="1" hidden="1" outlineLevel="1">
      <c r="A22" s="81" t="s">
        <v>344</v>
      </c>
      <c r="B22" s="82"/>
      <c r="C22" s="82"/>
      <c r="D22" s="82"/>
      <c r="E22" s="82">
        <v>837</v>
      </c>
      <c r="F22" s="82"/>
      <c r="G22" s="83"/>
      <c r="H22" s="84"/>
      <c r="I22" s="85"/>
    </row>
    <row r="23" spans="1:9" ht="15" customHeight="1" hidden="1" outlineLevel="1">
      <c r="A23" s="81" t="s">
        <v>345</v>
      </c>
      <c r="B23" s="82"/>
      <c r="C23" s="82"/>
      <c r="D23" s="82"/>
      <c r="E23" s="82">
        <v>1</v>
      </c>
      <c r="F23" s="82"/>
      <c r="G23" s="83"/>
      <c r="H23" s="84"/>
      <c r="I23" s="85"/>
    </row>
    <row r="24" spans="1:9" ht="15" customHeight="1" hidden="1" outlineLevel="1">
      <c r="A24" s="81" t="s">
        <v>346</v>
      </c>
      <c r="B24" s="82"/>
      <c r="C24" s="82"/>
      <c r="D24" s="82"/>
      <c r="E24" s="82">
        <v>170</v>
      </c>
      <c r="F24" s="82"/>
      <c r="G24" s="83"/>
      <c r="H24" s="84"/>
      <c r="I24" s="85"/>
    </row>
    <row r="25" spans="1:9" ht="15" customHeight="1" hidden="1" outlineLevel="1">
      <c r="A25" s="81" t="s">
        <v>347</v>
      </c>
      <c r="B25" s="82"/>
      <c r="C25" s="82"/>
      <c r="D25" s="82"/>
      <c r="E25" s="82"/>
      <c r="F25" s="82"/>
      <c r="G25" s="83"/>
      <c r="H25" s="84"/>
      <c r="I25" s="85"/>
    </row>
    <row r="26" spans="1:9" ht="15" customHeight="1" hidden="1" outlineLevel="1">
      <c r="A26" s="81" t="s">
        <v>348</v>
      </c>
      <c r="B26" s="82"/>
      <c r="C26" s="82"/>
      <c r="D26" s="82"/>
      <c r="E26" s="82">
        <v>1</v>
      </c>
      <c r="F26" s="82"/>
      <c r="G26" s="83"/>
      <c r="H26" s="84"/>
      <c r="I26" s="85"/>
    </row>
    <row r="27" spans="1:9" ht="15" customHeight="1" hidden="1" outlineLevel="1">
      <c r="A27" s="81" t="s">
        <v>349</v>
      </c>
      <c r="B27" s="82"/>
      <c r="C27" s="82"/>
      <c r="D27" s="82"/>
      <c r="E27" s="82"/>
      <c r="F27" s="82"/>
      <c r="G27" s="83"/>
      <c r="H27" s="84"/>
      <c r="I27" s="85"/>
    </row>
    <row r="28" spans="1:9" ht="15" customHeight="1" hidden="1" outlineLevel="1">
      <c r="A28" s="81" t="s">
        <v>31</v>
      </c>
      <c r="B28" s="82"/>
      <c r="C28" s="82"/>
      <c r="D28" s="82"/>
      <c r="E28" s="82">
        <v>0</v>
      </c>
      <c r="F28" s="82"/>
      <c r="G28" s="83"/>
      <c r="H28" s="84"/>
      <c r="I28" s="85"/>
    </row>
    <row r="29" spans="1:9" ht="15" customHeight="1" hidden="1" outlineLevel="1">
      <c r="A29" s="81" t="s">
        <v>350</v>
      </c>
      <c r="B29" s="82"/>
      <c r="C29" s="82"/>
      <c r="D29" s="82"/>
      <c r="E29" s="82"/>
      <c r="F29" s="82"/>
      <c r="G29" s="83"/>
      <c r="H29" s="84"/>
      <c r="I29" s="85"/>
    </row>
    <row r="30" spans="1:9" ht="15" customHeight="1" hidden="1" outlineLevel="1">
      <c r="A30" s="81" t="s">
        <v>351</v>
      </c>
      <c r="B30" s="82"/>
      <c r="C30" s="82"/>
      <c r="D30" s="82"/>
      <c r="E30" s="82">
        <v>140</v>
      </c>
      <c r="F30" s="82"/>
      <c r="G30" s="83"/>
      <c r="H30" s="84"/>
      <c r="I30" s="85"/>
    </row>
    <row r="31" spans="1:9" ht="15" customHeight="1" hidden="1" outlineLevel="1">
      <c r="A31" s="81" t="s">
        <v>352</v>
      </c>
      <c r="B31" s="82"/>
      <c r="C31" s="82"/>
      <c r="D31" s="82"/>
      <c r="E31" s="82">
        <v>140</v>
      </c>
      <c r="F31" s="82"/>
      <c r="G31" s="83"/>
      <c r="H31" s="84"/>
      <c r="I31" s="85"/>
    </row>
    <row r="32" spans="1:9" ht="15" customHeight="1" hidden="1" outlineLevel="1">
      <c r="A32" s="81" t="s">
        <v>353</v>
      </c>
      <c r="B32" s="82"/>
      <c r="C32" s="82"/>
      <c r="D32" s="82"/>
      <c r="E32" s="82"/>
      <c r="F32" s="82"/>
      <c r="G32" s="83"/>
      <c r="H32" s="84"/>
      <c r="I32" s="85"/>
    </row>
    <row r="33" spans="1:9" s="69" customFormat="1" ht="15" customHeight="1" hidden="1" outlineLevel="1">
      <c r="A33" s="81" t="s">
        <v>354</v>
      </c>
      <c r="B33" s="82"/>
      <c r="C33" s="82"/>
      <c r="D33" s="82"/>
      <c r="E33" s="82"/>
      <c r="F33" s="82"/>
      <c r="G33" s="83"/>
      <c r="H33" s="84"/>
      <c r="I33" s="85"/>
    </row>
    <row r="34" spans="1:9" s="69" customFormat="1" ht="15" customHeight="1" hidden="1" outlineLevel="1">
      <c r="A34" s="81" t="s">
        <v>355</v>
      </c>
      <c r="B34" s="82"/>
      <c r="C34" s="82"/>
      <c r="D34" s="82"/>
      <c r="E34" s="82"/>
      <c r="F34" s="82"/>
      <c r="G34" s="83"/>
      <c r="H34" s="84"/>
      <c r="I34" s="85"/>
    </row>
    <row r="35" spans="1:9" s="69" customFormat="1" ht="15" customHeight="1" hidden="1" outlineLevel="1">
      <c r="A35" s="81" t="s">
        <v>356</v>
      </c>
      <c r="B35" s="82"/>
      <c r="C35" s="82"/>
      <c r="D35" s="82"/>
      <c r="E35" s="82"/>
      <c r="F35" s="82"/>
      <c r="G35" s="83"/>
      <c r="H35" s="84"/>
      <c r="I35" s="85"/>
    </row>
    <row r="36" spans="1:9" s="69" customFormat="1" ht="15" customHeight="1" hidden="1" outlineLevel="1">
      <c r="A36" s="81" t="s">
        <v>357</v>
      </c>
      <c r="B36" s="82"/>
      <c r="C36" s="82"/>
      <c r="D36" s="82"/>
      <c r="E36" s="82" t="s">
        <v>516</v>
      </c>
      <c r="F36" s="82"/>
      <c r="G36" s="83"/>
      <c r="H36" s="84"/>
      <c r="I36" s="85"/>
    </row>
    <row r="37" spans="1:9" s="69" customFormat="1" ht="15" customHeight="1" hidden="1" outlineLevel="1">
      <c r="A37" s="174" t="s">
        <v>517</v>
      </c>
      <c r="B37" s="78"/>
      <c r="C37" s="78"/>
      <c r="D37" s="78"/>
      <c r="E37" s="175"/>
      <c r="F37" s="175"/>
      <c r="G37" s="78"/>
      <c r="H37" s="175">
        <f>F45</f>
        <v>901.0332</v>
      </c>
      <c r="I37" s="225">
        <f>H37/12</f>
        <v>75.0861</v>
      </c>
    </row>
    <row r="38" spans="1:9" s="69" customFormat="1" ht="15" customHeight="1" hidden="1" outlineLevel="1">
      <c r="A38" s="178" t="s">
        <v>518</v>
      </c>
      <c r="B38" s="83"/>
      <c r="C38" s="83"/>
      <c r="D38" s="83"/>
      <c r="E38" s="179"/>
      <c r="F38" s="179"/>
      <c r="G38" s="83"/>
      <c r="H38" s="179">
        <f>F280</f>
        <v>62.108000000000004</v>
      </c>
      <c r="I38" s="226">
        <f>H38/12</f>
        <v>5.175666666666667</v>
      </c>
    </row>
    <row r="39" spans="1:9" s="69" customFormat="1" ht="15" customHeight="1" hidden="1" outlineLevel="1">
      <c r="A39" s="178" t="s">
        <v>519</v>
      </c>
      <c r="B39" s="83"/>
      <c r="C39" s="83"/>
      <c r="D39" s="83"/>
      <c r="E39" s="179"/>
      <c r="F39" s="179"/>
      <c r="G39" s="83"/>
      <c r="H39" s="179">
        <f>F70</f>
        <v>7.071428571428571</v>
      </c>
      <c r="I39" s="226">
        <f>H39/12</f>
        <v>0.5892857142857143</v>
      </c>
    </row>
    <row r="40" spans="1:9" s="69" customFormat="1" ht="15" customHeight="1" hidden="1" outlineLevel="1">
      <c r="A40" s="178" t="s">
        <v>520</v>
      </c>
      <c r="B40" s="83"/>
      <c r="C40" s="83"/>
      <c r="D40" s="83"/>
      <c r="E40" s="179"/>
      <c r="F40" s="179"/>
      <c r="G40" s="83"/>
      <c r="H40" s="179">
        <f>F107</f>
        <v>1.8266065864183512</v>
      </c>
      <c r="I40" s="226">
        <f>H40/5.5</f>
        <v>0.3321102884397002</v>
      </c>
    </row>
    <row r="41" spans="1:9" s="69" customFormat="1" ht="15" customHeight="1" hidden="1" outlineLevel="1">
      <c r="A41" s="178" t="s">
        <v>521</v>
      </c>
      <c r="B41" s="83"/>
      <c r="C41" s="83"/>
      <c r="D41" s="83"/>
      <c r="E41" s="179"/>
      <c r="F41" s="179"/>
      <c r="G41" s="83"/>
      <c r="H41" s="179">
        <f>F112</f>
        <v>1.6771575757575758</v>
      </c>
      <c r="I41" s="226">
        <f>H41/6.5</f>
        <v>0.25802424242424243</v>
      </c>
    </row>
    <row r="42" spans="1:9" s="69" customFormat="1" ht="15" customHeight="1" hidden="1" outlineLevel="1">
      <c r="A42" s="227" t="s">
        <v>522</v>
      </c>
      <c r="B42" s="88"/>
      <c r="C42" s="88"/>
      <c r="D42" s="88"/>
      <c r="E42" s="228"/>
      <c r="F42" s="228"/>
      <c r="G42" s="88"/>
      <c r="H42" s="228">
        <f>F156</f>
        <v>0</v>
      </c>
      <c r="I42" s="229">
        <f>H42/12</f>
        <v>0</v>
      </c>
    </row>
    <row r="43" spans="1:10" s="91" customFormat="1" ht="20.25" customHeight="1" collapsed="1" thickBot="1">
      <c r="A43" s="440" t="s">
        <v>287</v>
      </c>
      <c r="B43" s="440"/>
      <c r="C43" s="440"/>
      <c r="D43" s="440"/>
      <c r="E43" s="440"/>
      <c r="F43" s="440"/>
      <c r="G43" s="231" t="s">
        <v>358</v>
      </c>
      <c r="H43" s="63" t="s">
        <v>288</v>
      </c>
      <c r="I43" s="63" t="s">
        <v>294</v>
      </c>
      <c r="J43" s="63" t="s">
        <v>300</v>
      </c>
    </row>
    <row r="44" spans="1:10" s="97" customFormat="1" ht="31.5" collapsed="1" thickBot="1">
      <c r="A44" s="232" t="s">
        <v>274</v>
      </c>
      <c r="B44" s="233" t="s">
        <v>359</v>
      </c>
      <c r="C44" s="233" t="s">
        <v>360</v>
      </c>
      <c r="D44" s="233" t="s">
        <v>361</v>
      </c>
      <c r="E44" s="233" t="s">
        <v>329</v>
      </c>
      <c r="F44" s="233" t="s">
        <v>362</v>
      </c>
      <c r="G44" s="221" t="s">
        <v>363</v>
      </c>
      <c r="H44" s="234">
        <f>H45+H64+H65+H66+H68+H67</f>
        <v>144508.83371010047</v>
      </c>
      <c r="I44" s="234">
        <f>H44/12</f>
        <v>12042.402809175039</v>
      </c>
      <c r="J44" s="235">
        <f>I44/$E$9</f>
        <v>3.619598079102807</v>
      </c>
    </row>
    <row r="45" spans="1:10" s="69" customFormat="1" ht="15" customHeight="1" hidden="1" outlineLevel="1" collapsed="1">
      <c r="A45" s="98" t="s">
        <v>564</v>
      </c>
      <c r="B45" s="99" t="s">
        <v>364</v>
      </c>
      <c r="C45" s="99" t="s">
        <v>364</v>
      </c>
      <c r="D45" s="99" t="s">
        <v>364</v>
      </c>
      <c r="E45" s="99" t="s">
        <v>364</v>
      </c>
      <c r="F45" s="99">
        <f>F46+F51+F55+F58+F60+F62</f>
        <v>901.0332</v>
      </c>
      <c r="G45" s="100">
        <v>69.04</v>
      </c>
      <c r="H45" s="100">
        <f aca="true" t="shared" si="0" ref="H45:H54">F45*G45</f>
        <v>62207.332128</v>
      </c>
      <c r="I45" s="100">
        <f>H45/12</f>
        <v>5183.9443440000005</v>
      </c>
      <c r="J45" s="236">
        <f aca="true" t="shared" si="1" ref="J45:J108">I45/$E$9</f>
        <v>1.558143776375113</v>
      </c>
    </row>
    <row r="46" spans="1:10" s="294" customFormat="1" ht="15" customHeight="1" hidden="1" outlineLevel="2">
      <c r="A46" s="258" t="s">
        <v>565</v>
      </c>
      <c r="B46" s="259" t="s">
        <v>359</v>
      </c>
      <c r="C46" s="259" t="s">
        <v>566</v>
      </c>
      <c r="D46" s="259" t="s">
        <v>361</v>
      </c>
      <c r="E46" s="260" t="s">
        <v>567</v>
      </c>
      <c r="F46" s="260">
        <f>SUM(F47:F50)</f>
        <v>501.8112</v>
      </c>
      <c r="G46" s="261">
        <v>69.04</v>
      </c>
      <c r="H46" s="261">
        <f t="shared" si="0"/>
        <v>34645.045248</v>
      </c>
      <c r="I46" s="261">
        <f>H46/12</f>
        <v>2887.087104</v>
      </c>
      <c r="J46" s="237">
        <f t="shared" si="1"/>
        <v>0.8677749035166817</v>
      </c>
    </row>
    <row r="47" spans="1:10" s="295" customFormat="1" ht="15" customHeight="1" hidden="1" outlineLevel="2">
      <c r="A47" s="262" t="s">
        <v>568</v>
      </c>
      <c r="B47" s="263" t="s">
        <v>569</v>
      </c>
      <c r="C47" s="263">
        <v>0.6</v>
      </c>
      <c r="D47" s="263">
        <v>6</v>
      </c>
      <c r="E47" s="264">
        <f>E10</f>
        <v>70</v>
      </c>
      <c r="F47" s="264">
        <f>C47*D47*E47</f>
        <v>251.99999999999997</v>
      </c>
      <c r="G47" s="265">
        <v>69.04</v>
      </c>
      <c r="H47" s="265">
        <f t="shared" si="0"/>
        <v>17398.079999999998</v>
      </c>
      <c r="I47" s="266">
        <f aca="true" t="shared" si="2" ref="I47:I68">H47/12</f>
        <v>1449.84</v>
      </c>
      <c r="J47" s="237">
        <f t="shared" si="1"/>
        <v>0.43577998196573486</v>
      </c>
    </row>
    <row r="48" spans="1:10" s="295" customFormat="1" ht="15" customHeight="1" hidden="1" outlineLevel="2">
      <c r="A48" s="267" t="s">
        <v>570</v>
      </c>
      <c r="B48" s="263" t="s">
        <v>571</v>
      </c>
      <c r="C48" s="263">
        <f>4/1000</f>
        <v>0.004</v>
      </c>
      <c r="D48" s="263">
        <v>12</v>
      </c>
      <c r="E48" s="264">
        <f>E11</f>
        <v>837</v>
      </c>
      <c r="F48" s="264">
        <f>C48*D48*E48</f>
        <v>40.176</v>
      </c>
      <c r="G48" s="265">
        <v>69.04</v>
      </c>
      <c r="H48" s="265">
        <f t="shared" si="0"/>
        <v>2773.7510400000006</v>
      </c>
      <c r="I48" s="266">
        <f t="shared" si="2"/>
        <v>231.14592000000005</v>
      </c>
      <c r="J48" s="237">
        <f t="shared" si="1"/>
        <v>0.06947577998196575</v>
      </c>
    </row>
    <row r="49" spans="1:10" s="295" customFormat="1" ht="15" customHeight="1" hidden="1" outlineLevel="2">
      <c r="A49" s="267" t="s">
        <v>572</v>
      </c>
      <c r="B49" s="263" t="s">
        <v>573</v>
      </c>
      <c r="C49" s="263">
        <v>0.0087</v>
      </c>
      <c r="D49" s="263">
        <v>2</v>
      </c>
      <c r="E49" s="264">
        <f>E13</f>
        <v>12048</v>
      </c>
      <c r="F49" s="264">
        <f>C49*D49*E49</f>
        <v>209.6352</v>
      </c>
      <c r="G49" s="265">
        <v>69.04</v>
      </c>
      <c r="H49" s="265">
        <f t="shared" si="0"/>
        <v>14473.214208000001</v>
      </c>
      <c r="I49" s="266">
        <f t="shared" si="2"/>
        <v>1206.101184</v>
      </c>
      <c r="J49" s="237">
        <f t="shared" si="1"/>
        <v>0.3625191415689811</v>
      </c>
    </row>
    <row r="50" spans="1:10" s="295" customFormat="1" ht="15" customHeight="1" hidden="1" outlineLevel="2">
      <c r="A50" s="267" t="s">
        <v>574</v>
      </c>
      <c r="B50" s="263" t="s">
        <v>575</v>
      </c>
      <c r="C50" s="263">
        <v>1</v>
      </c>
      <c r="D50" s="263">
        <v>24</v>
      </c>
      <c r="E50" s="264">
        <f>E25</f>
        <v>0</v>
      </c>
      <c r="F50" s="264">
        <f>C50*D50*E50</f>
        <v>0</v>
      </c>
      <c r="G50" s="265">
        <v>69.04</v>
      </c>
      <c r="H50" s="265">
        <f t="shared" si="0"/>
        <v>0</v>
      </c>
      <c r="I50" s="266">
        <f t="shared" si="2"/>
        <v>0</v>
      </c>
      <c r="J50" s="237">
        <f t="shared" si="1"/>
        <v>0</v>
      </c>
    </row>
    <row r="51" spans="1:10" s="294" customFormat="1" ht="15" customHeight="1" hidden="1" outlineLevel="2">
      <c r="A51" s="258" t="s">
        <v>576</v>
      </c>
      <c r="B51" s="259" t="s">
        <v>359</v>
      </c>
      <c r="C51" s="259" t="s">
        <v>566</v>
      </c>
      <c r="D51" s="259" t="s">
        <v>361</v>
      </c>
      <c r="E51" s="260" t="s">
        <v>567</v>
      </c>
      <c r="F51" s="260">
        <f>SUM(F52:F54)</f>
        <v>130.464</v>
      </c>
      <c r="G51" s="261">
        <f>G46</f>
        <v>69.04</v>
      </c>
      <c r="H51" s="261">
        <f t="shared" si="0"/>
        <v>9007.23456</v>
      </c>
      <c r="I51" s="261">
        <f>H51/12</f>
        <v>750.60288</v>
      </c>
      <c r="J51" s="237">
        <f t="shared" si="1"/>
        <v>0.22560952209197477</v>
      </c>
    </row>
    <row r="52" spans="1:10" s="103" customFormat="1" ht="15" customHeight="1" hidden="1" outlineLevel="2">
      <c r="A52" s="102" t="s">
        <v>577</v>
      </c>
      <c r="B52" s="268" t="s">
        <v>578</v>
      </c>
      <c r="C52" s="268">
        <f>8/1000</f>
        <v>0.008</v>
      </c>
      <c r="D52" s="268">
        <v>1</v>
      </c>
      <c r="E52" s="269">
        <f>E9</f>
        <v>3327</v>
      </c>
      <c r="F52" s="269">
        <f>C52*D52*E52</f>
        <v>26.616</v>
      </c>
      <c r="G52" s="270">
        <v>69.04</v>
      </c>
      <c r="H52" s="270">
        <f t="shared" si="0"/>
        <v>1837.5686400000002</v>
      </c>
      <c r="I52" s="266">
        <f t="shared" si="2"/>
        <v>153.13072000000003</v>
      </c>
      <c r="J52" s="237">
        <f t="shared" si="1"/>
        <v>0.046026666666666674</v>
      </c>
    </row>
    <row r="53" spans="1:10" s="103" customFormat="1" ht="15" customHeight="1" hidden="1" outlineLevel="2">
      <c r="A53" s="104" t="s">
        <v>579</v>
      </c>
      <c r="B53" s="268" t="s">
        <v>571</v>
      </c>
      <c r="C53" s="268">
        <f>2/1000</f>
        <v>0.002</v>
      </c>
      <c r="D53" s="268">
        <v>12</v>
      </c>
      <c r="E53" s="269">
        <f>E9</f>
        <v>3327</v>
      </c>
      <c r="F53" s="269">
        <f>C53*D53*E53</f>
        <v>79.848</v>
      </c>
      <c r="G53" s="270">
        <v>69.04</v>
      </c>
      <c r="H53" s="270">
        <f t="shared" si="0"/>
        <v>5512.70592</v>
      </c>
      <c r="I53" s="266">
        <f t="shared" si="2"/>
        <v>459.39216000000005</v>
      </c>
      <c r="J53" s="237">
        <f t="shared" si="1"/>
        <v>0.13808</v>
      </c>
    </row>
    <row r="54" spans="1:10" s="103" customFormat="1" ht="15" customHeight="1" hidden="1" outlineLevel="2">
      <c r="A54" s="104" t="s">
        <v>580</v>
      </c>
      <c r="B54" s="268" t="s">
        <v>581</v>
      </c>
      <c r="C54" s="268">
        <v>1</v>
      </c>
      <c r="D54" s="268">
        <v>24</v>
      </c>
      <c r="E54" s="269">
        <f>E23</f>
        <v>1</v>
      </c>
      <c r="F54" s="269">
        <f>C54*D54*E54</f>
        <v>24</v>
      </c>
      <c r="G54" s="270">
        <v>69.04</v>
      </c>
      <c r="H54" s="270">
        <f t="shared" si="0"/>
        <v>1656.96</v>
      </c>
      <c r="I54" s="266">
        <f t="shared" si="2"/>
        <v>138.08</v>
      </c>
      <c r="J54" s="237">
        <f t="shared" si="1"/>
        <v>0.04150285542530809</v>
      </c>
    </row>
    <row r="55" spans="1:10" s="294" customFormat="1" ht="15" customHeight="1" hidden="1" outlineLevel="2">
      <c r="A55" s="258" t="s">
        <v>582</v>
      </c>
      <c r="B55" s="259" t="s">
        <v>359</v>
      </c>
      <c r="C55" s="259" t="s">
        <v>566</v>
      </c>
      <c r="D55" s="259" t="s">
        <v>361</v>
      </c>
      <c r="E55" s="260" t="s">
        <v>567</v>
      </c>
      <c r="F55" s="260">
        <f>SUM(F56:F57)</f>
        <v>148.98600000000002</v>
      </c>
      <c r="G55" s="261">
        <v>69.04</v>
      </c>
      <c r="H55" s="261">
        <f>H56+H57</f>
        <v>10285.993440000004</v>
      </c>
      <c r="I55" s="261">
        <f>I57+I56</f>
        <v>857.1661200000003</v>
      </c>
      <c r="J55" s="237">
        <f t="shared" si="1"/>
        <v>0.2576393507664564</v>
      </c>
    </row>
    <row r="56" spans="1:10" s="105" customFormat="1" ht="15" customHeight="1" hidden="1" outlineLevel="2">
      <c r="A56" s="102" t="s">
        <v>583</v>
      </c>
      <c r="B56" s="271" t="s">
        <v>584</v>
      </c>
      <c r="C56" s="271">
        <f>3/1000</f>
        <v>0.003</v>
      </c>
      <c r="D56" s="271">
        <v>6</v>
      </c>
      <c r="E56" s="272">
        <f>E22</f>
        <v>837</v>
      </c>
      <c r="F56" s="272">
        <f>C56*D56*E56</f>
        <v>15.066000000000003</v>
      </c>
      <c r="G56" s="266">
        <v>69.04</v>
      </c>
      <c r="H56" s="266">
        <f aca="true" t="shared" si="3" ref="H56:H66">F56*G56</f>
        <v>1040.1566400000004</v>
      </c>
      <c r="I56" s="266">
        <f t="shared" si="2"/>
        <v>86.67972000000003</v>
      </c>
      <c r="J56" s="237">
        <f t="shared" si="1"/>
        <v>0.026053417493237162</v>
      </c>
    </row>
    <row r="57" spans="1:10" s="105" customFormat="1" ht="15" customHeight="1" hidden="1" outlineLevel="2">
      <c r="A57" s="102" t="s">
        <v>585</v>
      </c>
      <c r="B57" s="271" t="s">
        <v>586</v>
      </c>
      <c r="C57" s="271">
        <f>0.08</f>
        <v>0.08</v>
      </c>
      <c r="D57" s="271">
        <v>2</v>
      </c>
      <c r="E57" s="272">
        <f>E22</f>
        <v>837</v>
      </c>
      <c r="F57" s="272">
        <f>C57*D57*E57</f>
        <v>133.92000000000002</v>
      </c>
      <c r="G57" s="266">
        <v>69.04</v>
      </c>
      <c r="H57" s="266">
        <f t="shared" si="3"/>
        <v>9245.836800000003</v>
      </c>
      <c r="I57" s="266">
        <f t="shared" si="2"/>
        <v>770.4864000000002</v>
      </c>
      <c r="J57" s="237">
        <f t="shared" si="1"/>
        <v>0.2315859332732192</v>
      </c>
    </row>
    <row r="58" spans="1:10" s="294" customFormat="1" ht="15" customHeight="1" hidden="1" outlineLevel="2">
      <c r="A58" s="258" t="s">
        <v>587</v>
      </c>
      <c r="B58" s="259" t="s">
        <v>359</v>
      </c>
      <c r="C58" s="259" t="s">
        <v>566</v>
      </c>
      <c r="D58" s="259" t="s">
        <v>361</v>
      </c>
      <c r="E58" s="260" t="s">
        <v>567</v>
      </c>
      <c r="F58" s="260">
        <f>SUM(F59)</f>
        <v>26.616</v>
      </c>
      <c r="G58" s="261">
        <v>69.04</v>
      </c>
      <c r="H58" s="261">
        <f t="shared" si="3"/>
        <v>1837.5686400000002</v>
      </c>
      <c r="I58" s="261">
        <f>H58/12</f>
        <v>153.13072000000003</v>
      </c>
      <c r="J58" s="237">
        <f t="shared" si="1"/>
        <v>0.046026666666666674</v>
      </c>
    </row>
    <row r="59" spans="1:10" s="105" customFormat="1" ht="15" customHeight="1" hidden="1" outlineLevel="2">
      <c r="A59" s="102" t="s">
        <v>588</v>
      </c>
      <c r="B59" s="271" t="s">
        <v>578</v>
      </c>
      <c r="C59" s="271">
        <f>4/1000</f>
        <v>0.004</v>
      </c>
      <c r="D59" s="271">
        <v>2</v>
      </c>
      <c r="E59" s="272">
        <f>E9</f>
        <v>3327</v>
      </c>
      <c r="F59" s="272">
        <f>C59*D59*E59</f>
        <v>26.616</v>
      </c>
      <c r="G59" s="266">
        <v>69.04</v>
      </c>
      <c r="H59" s="266">
        <f t="shared" si="3"/>
        <v>1837.5686400000002</v>
      </c>
      <c r="I59" s="266">
        <f t="shared" si="2"/>
        <v>153.13072000000003</v>
      </c>
      <c r="J59" s="237">
        <f t="shared" si="1"/>
        <v>0.046026666666666674</v>
      </c>
    </row>
    <row r="60" spans="1:10" s="296" customFormat="1" ht="15" customHeight="1" hidden="1" outlineLevel="2">
      <c r="A60" s="258" t="s">
        <v>589</v>
      </c>
      <c r="B60" s="259" t="s">
        <v>359</v>
      </c>
      <c r="C60" s="259" t="s">
        <v>566</v>
      </c>
      <c r="D60" s="259" t="s">
        <v>361</v>
      </c>
      <c r="E60" s="260" t="s">
        <v>567</v>
      </c>
      <c r="F60" s="260">
        <f>SUM(F61)</f>
        <v>46.578</v>
      </c>
      <c r="G60" s="261">
        <v>69.04</v>
      </c>
      <c r="H60" s="261">
        <f t="shared" si="3"/>
        <v>3215.7451200000005</v>
      </c>
      <c r="I60" s="261">
        <f>H60/12</f>
        <v>267.97876</v>
      </c>
      <c r="J60" s="237">
        <f t="shared" si="1"/>
        <v>0.08054666666666667</v>
      </c>
    </row>
    <row r="61" spans="1:10" s="105" customFormat="1" ht="15" customHeight="1" hidden="1" outlineLevel="2">
      <c r="A61" s="102" t="s">
        <v>590</v>
      </c>
      <c r="B61" s="271" t="s">
        <v>578</v>
      </c>
      <c r="C61" s="271">
        <f>7/1000</f>
        <v>0.007</v>
      </c>
      <c r="D61" s="271">
        <v>2</v>
      </c>
      <c r="E61" s="272">
        <f>E9</f>
        <v>3327</v>
      </c>
      <c r="F61" s="272">
        <f>C61*D61*E61</f>
        <v>46.578</v>
      </c>
      <c r="G61" s="266">
        <v>69.04</v>
      </c>
      <c r="H61" s="266">
        <f t="shared" si="3"/>
        <v>3215.7451200000005</v>
      </c>
      <c r="I61" s="266">
        <f t="shared" si="2"/>
        <v>267.97876</v>
      </c>
      <c r="J61" s="237">
        <f t="shared" si="1"/>
        <v>0.08054666666666667</v>
      </c>
    </row>
    <row r="62" spans="1:10" s="296" customFormat="1" ht="15" customHeight="1" hidden="1" outlineLevel="2">
      <c r="A62" s="258" t="s">
        <v>591</v>
      </c>
      <c r="B62" s="259" t="s">
        <v>359</v>
      </c>
      <c r="C62" s="259" t="s">
        <v>566</v>
      </c>
      <c r="D62" s="259" t="s">
        <v>361</v>
      </c>
      <c r="E62" s="260" t="s">
        <v>567</v>
      </c>
      <c r="F62" s="260">
        <f>SUM(F63)</f>
        <v>46.578</v>
      </c>
      <c r="G62" s="261">
        <v>69.04</v>
      </c>
      <c r="H62" s="261">
        <f t="shared" si="3"/>
        <v>3215.7451200000005</v>
      </c>
      <c r="I62" s="261">
        <f>H62/12</f>
        <v>267.97876</v>
      </c>
      <c r="J62" s="237">
        <f t="shared" si="1"/>
        <v>0.08054666666666667</v>
      </c>
    </row>
    <row r="63" spans="1:10" s="105" customFormat="1" ht="15" customHeight="1" hidden="1" outlineLevel="2">
      <c r="A63" s="102" t="s">
        <v>592</v>
      </c>
      <c r="B63" s="271" t="s">
        <v>578</v>
      </c>
      <c r="C63" s="271">
        <f>7/1000</f>
        <v>0.007</v>
      </c>
      <c r="D63" s="271">
        <v>2</v>
      </c>
      <c r="E63" s="272">
        <f>E9</f>
        <v>3327</v>
      </c>
      <c r="F63" s="272">
        <f>C63*D63*E63</f>
        <v>46.578</v>
      </c>
      <c r="G63" s="266">
        <v>69.04</v>
      </c>
      <c r="H63" s="266">
        <f t="shared" si="3"/>
        <v>3215.7451200000005</v>
      </c>
      <c r="I63" s="266">
        <f t="shared" si="2"/>
        <v>267.97876</v>
      </c>
      <c r="J63" s="237">
        <f t="shared" si="1"/>
        <v>0.08054666666666667</v>
      </c>
    </row>
    <row r="64" spans="1:10" s="69" customFormat="1" ht="15" customHeight="1" hidden="1" outlineLevel="1">
      <c r="A64" s="106" t="s">
        <v>365</v>
      </c>
      <c r="B64" s="68" t="s">
        <v>364</v>
      </c>
      <c r="C64" s="68" t="s">
        <v>364</v>
      </c>
      <c r="D64" s="68" t="s">
        <v>364</v>
      </c>
      <c r="E64" s="68" t="s">
        <v>364</v>
      </c>
      <c r="F64" s="68">
        <f>H45</f>
        <v>62207.332128</v>
      </c>
      <c r="G64" s="107">
        <v>0.5</v>
      </c>
      <c r="H64" s="108">
        <f t="shared" si="3"/>
        <v>31103.666064</v>
      </c>
      <c r="I64" s="108">
        <f>H64/12</f>
        <v>2591.9721720000002</v>
      </c>
      <c r="J64" s="237">
        <f t="shared" si="1"/>
        <v>0.7790718881875565</v>
      </c>
    </row>
    <row r="65" spans="1:10" s="69" customFormat="1" ht="15" customHeight="1" hidden="1" outlineLevel="1">
      <c r="A65" s="106" t="s">
        <v>366</v>
      </c>
      <c r="B65" s="68" t="s">
        <v>364</v>
      </c>
      <c r="C65" s="68" t="s">
        <v>364</v>
      </c>
      <c r="D65" s="68" t="s">
        <v>364</v>
      </c>
      <c r="E65" s="68" t="s">
        <v>364</v>
      </c>
      <c r="F65" s="68">
        <f>H64+H45</f>
        <v>93310.998192</v>
      </c>
      <c r="G65" s="107">
        <v>0.12</v>
      </c>
      <c r="H65" s="108">
        <f t="shared" si="3"/>
        <v>11197.319783039999</v>
      </c>
      <c r="I65" s="108">
        <f t="shared" si="2"/>
        <v>933.1099819199999</v>
      </c>
      <c r="J65" s="237">
        <f t="shared" si="1"/>
        <v>0.28046587974752024</v>
      </c>
    </row>
    <row r="66" spans="1:10" s="69" customFormat="1" ht="15" customHeight="1" hidden="1" outlineLevel="1">
      <c r="A66" s="106" t="s">
        <v>367</v>
      </c>
      <c r="B66" s="68" t="s">
        <v>364</v>
      </c>
      <c r="C66" s="68" t="s">
        <v>364</v>
      </c>
      <c r="D66" s="68" t="s">
        <v>364</v>
      </c>
      <c r="E66" s="68" t="s">
        <v>364</v>
      </c>
      <c r="F66" s="68">
        <f>H45+H64+H65</f>
        <v>104508.31797504</v>
      </c>
      <c r="G66" s="107">
        <v>0.262</v>
      </c>
      <c r="H66" s="108">
        <f t="shared" si="3"/>
        <v>27381.17930946048</v>
      </c>
      <c r="I66" s="108">
        <f t="shared" si="2"/>
        <v>2281.76494245504</v>
      </c>
      <c r="J66" s="237">
        <f t="shared" si="1"/>
        <v>0.6858325646092696</v>
      </c>
    </row>
    <row r="67" spans="1:10" s="69" customFormat="1" ht="15" customHeight="1" hidden="1" outlineLevel="1">
      <c r="A67" s="106" t="s">
        <v>60</v>
      </c>
      <c r="B67" s="68" t="s">
        <v>364</v>
      </c>
      <c r="C67" s="68" t="s">
        <v>364</v>
      </c>
      <c r="D67" s="68" t="s">
        <v>364</v>
      </c>
      <c r="E67" s="68" t="s">
        <v>364</v>
      </c>
      <c r="F67" s="68">
        <f>H45</f>
        <v>62207.332128</v>
      </c>
      <c r="G67" s="107">
        <v>0.2</v>
      </c>
      <c r="H67" s="108">
        <f>F67*G67+20-0.72+0.05+169.63-11.87+0.83-0.06+0.01</f>
        <v>12619.3364256</v>
      </c>
      <c r="I67" s="108">
        <f t="shared" si="2"/>
        <v>1051.6113688</v>
      </c>
      <c r="J67" s="237">
        <f t="shared" si="1"/>
        <v>0.3160839701833484</v>
      </c>
    </row>
    <row r="68" spans="1:10" s="69" customFormat="1" ht="15" customHeight="1" hidden="1" outlineLevel="1">
      <c r="A68" s="114" t="s">
        <v>593</v>
      </c>
      <c r="B68" s="115" t="s">
        <v>364</v>
      </c>
      <c r="C68" s="115" t="s">
        <v>364</v>
      </c>
      <c r="D68" s="115" t="s">
        <v>364</v>
      </c>
      <c r="E68" s="115" t="s">
        <v>364</v>
      </c>
      <c r="F68" s="115" t="s">
        <v>364</v>
      </c>
      <c r="G68" s="115" t="s">
        <v>364</v>
      </c>
      <c r="H68" s="116">
        <v>0</v>
      </c>
      <c r="I68" s="116">
        <f t="shared" si="2"/>
        <v>0</v>
      </c>
      <c r="J68" s="238">
        <f t="shared" si="1"/>
        <v>0</v>
      </c>
    </row>
    <row r="69" spans="1:10" s="97" customFormat="1" ht="31.5" collapsed="1" thickBot="1">
      <c r="A69" s="232" t="s">
        <v>273</v>
      </c>
      <c r="B69" s="233" t="s">
        <v>359</v>
      </c>
      <c r="C69" s="233" t="s">
        <v>360</v>
      </c>
      <c r="D69" s="233" t="s">
        <v>361</v>
      </c>
      <c r="E69" s="233" t="s">
        <v>329</v>
      </c>
      <c r="F69" s="233" t="s">
        <v>362</v>
      </c>
      <c r="G69" s="221" t="s">
        <v>363</v>
      </c>
      <c r="H69" s="234">
        <f>H70+H79+H80+H81+H82+H89+H104</f>
        <v>93824.81</v>
      </c>
      <c r="I69" s="234">
        <f>H69/12</f>
        <v>7818.734166666666</v>
      </c>
      <c r="J69" s="235">
        <f t="shared" si="1"/>
        <v>2.350085412283338</v>
      </c>
    </row>
    <row r="70" spans="1:10" s="69" customFormat="1" ht="15" customHeight="1" hidden="1" outlineLevel="1" collapsed="1">
      <c r="A70" s="98" t="s">
        <v>594</v>
      </c>
      <c r="B70" s="99" t="s">
        <v>364</v>
      </c>
      <c r="C70" s="99" t="s">
        <v>364</v>
      </c>
      <c r="D70" s="99" t="s">
        <v>364</v>
      </c>
      <c r="E70" s="99" t="s">
        <v>364</v>
      </c>
      <c r="F70" s="99">
        <f>SUM(F71:F78)</f>
        <v>7.071428571428571</v>
      </c>
      <c r="G70" s="100">
        <v>6000</v>
      </c>
      <c r="H70" s="273">
        <f>SUM(H71:H78)</f>
        <v>42428.57142857143</v>
      </c>
      <c r="I70" s="273">
        <f>SUM(I71:I78)</f>
        <v>3535.714285714286</v>
      </c>
      <c r="J70" s="236">
        <f t="shared" si="1"/>
        <v>1.0627334793250032</v>
      </c>
    </row>
    <row r="71" spans="1:10" ht="15" customHeight="1" hidden="1" outlineLevel="2">
      <c r="A71" s="104" t="s">
        <v>595</v>
      </c>
      <c r="B71" s="274" t="s">
        <v>368</v>
      </c>
      <c r="C71" s="274">
        <v>560</v>
      </c>
      <c r="D71" s="274">
        <v>12</v>
      </c>
      <c r="E71" s="272">
        <f>E15</f>
        <v>330</v>
      </c>
      <c r="F71" s="272">
        <f>E71/C71*D71</f>
        <v>7.071428571428571</v>
      </c>
      <c r="G71" s="274">
        <v>6000</v>
      </c>
      <c r="H71" s="266">
        <f>F71*G71</f>
        <v>42428.57142857143</v>
      </c>
      <c r="I71" s="266">
        <f>H71/12</f>
        <v>3535.714285714286</v>
      </c>
      <c r="J71" s="237">
        <f t="shared" si="1"/>
        <v>1.0627334793250032</v>
      </c>
    </row>
    <row r="72" spans="1:10" ht="15" customHeight="1" hidden="1" outlineLevel="2">
      <c r="A72" s="104" t="s">
        <v>596</v>
      </c>
      <c r="B72" s="274" t="s">
        <v>368</v>
      </c>
      <c r="C72" s="274">
        <v>620</v>
      </c>
      <c r="D72" s="274">
        <v>12</v>
      </c>
      <c r="E72" s="272">
        <v>0</v>
      </c>
      <c r="F72" s="272">
        <f aca="true" t="shared" si="4" ref="F72:F78">E72/C72*D72</f>
        <v>0</v>
      </c>
      <c r="G72" s="274">
        <v>6000</v>
      </c>
      <c r="H72" s="266">
        <f aca="true" t="shared" si="5" ref="H72:H78">F72*G72</f>
        <v>0</v>
      </c>
      <c r="I72" s="266">
        <f aca="true" t="shared" si="6" ref="I72:I88">H72/12</f>
        <v>0</v>
      </c>
      <c r="J72" s="237">
        <f t="shared" si="1"/>
        <v>0</v>
      </c>
    </row>
    <row r="73" spans="1:10" ht="15" customHeight="1" hidden="1" outlineLevel="2">
      <c r="A73" s="104" t="s">
        <v>597</v>
      </c>
      <c r="B73" s="274" t="s">
        <v>368</v>
      </c>
      <c r="C73" s="274">
        <v>830</v>
      </c>
      <c r="D73" s="274">
        <v>12</v>
      </c>
      <c r="E73" s="272">
        <v>0</v>
      </c>
      <c r="F73" s="272">
        <f t="shared" si="4"/>
        <v>0</v>
      </c>
      <c r="G73" s="274">
        <v>6000</v>
      </c>
      <c r="H73" s="266">
        <f t="shared" si="5"/>
        <v>0</v>
      </c>
      <c r="I73" s="266">
        <f t="shared" si="6"/>
        <v>0</v>
      </c>
      <c r="J73" s="237">
        <f t="shared" si="1"/>
        <v>0</v>
      </c>
    </row>
    <row r="74" spans="1:10" ht="15" customHeight="1" hidden="1" outlineLevel="2">
      <c r="A74" s="104" t="s">
        <v>598</v>
      </c>
      <c r="B74" s="274" t="s">
        <v>368</v>
      </c>
      <c r="C74" s="274">
        <v>690</v>
      </c>
      <c r="D74" s="274">
        <v>12</v>
      </c>
      <c r="E74" s="272">
        <v>0</v>
      </c>
      <c r="F74" s="272">
        <f t="shared" si="4"/>
        <v>0</v>
      </c>
      <c r="G74" s="274">
        <v>6000</v>
      </c>
      <c r="H74" s="266">
        <f t="shared" si="5"/>
        <v>0</v>
      </c>
      <c r="I74" s="266">
        <f t="shared" si="6"/>
        <v>0</v>
      </c>
      <c r="J74" s="237">
        <f t="shared" si="1"/>
        <v>0</v>
      </c>
    </row>
    <row r="75" spans="1:10" ht="15" customHeight="1" hidden="1" outlineLevel="2">
      <c r="A75" s="104" t="s">
        <v>599</v>
      </c>
      <c r="B75" s="274" t="s">
        <v>368</v>
      </c>
      <c r="C75" s="274">
        <v>950</v>
      </c>
      <c r="D75" s="274">
        <v>12</v>
      </c>
      <c r="E75" s="272">
        <v>0</v>
      </c>
      <c r="F75" s="272">
        <f t="shared" si="4"/>
        <v>0</v>
      </c>
      <c r="G75" s="274">
        <v>6000</v>
      </c>
      <c r="H75" s="266">
        <f t="shared" si="5"/>
        <v>0</v>
      </c>
      <c r="I75" s="266">
        <f t="shared" si="6"/>
        <v>0</v>
      </c>
      <c r="J75" s="237">
        <f t="shared" si="1"/>
        <v>0</v>
      </c>
    </row>
    <row r="76" spans="1:10" ht="15" customHeight="1" hidden="1" outlineLevel="2">
      <c r="A76" s="104" t="s">
        <v>600</v>
      </c>
      <c r="B76" s="274" t="s">
        <v>368</v>
      </c>
      <c r="C76" s="274">
        <v>820</v>
      </c>
      <c r="D76" s="274">
        <v>12</v>
      </c>
      <c r="E76" s="272">
        <v>0</v>
      </c>
      <c r="F76" s="272">
        <f t="shared" si="4"/>
        <v>0</v>
      </c>
      <c r="G76" s="274">
        <v>6000</v>
      </c>
      <c r="H76" s="266">
        <f t="shared" si="5"/>
        <v>0</v>
      </c>
      <c r="I76" s="266">
        <f t="shared" si="6"/>
        <v>0</v>
      </c>
      <c r="J76" s="237">
        <f t="shared" si="1"/>
        <v>0</v>
      </c>
    </row>
    <row r="77" spans="1:10" ht="15" customHeight="1" hidden="1" outlineLevel="2">
      <c r="A77" s="104" t="s">
        <v>601</v>
      </c>
      <c r="B77" s="274" t="s">
        <v>368</v>
      </c>
      <c r="C77" s="274">
        <v>1050</v>
      </c>
      <c r="D77" s="274">
        <v>12</v>
      </c>
      <c r="E77" s="272">
        <v>0</v>
      </c>
      <c r="F77" s="272">
        <f t="shared" si="4"/>
        <v>0</v>
      </c>
      <c r="G77" s="274">
        <v>6000</v>
      </c>
      <c r="H77" s="266">
        <f t="shared" si="5"/>
        <v>0</v>
      </c>
      <c r="I77" s="266">
        <f t="shared" si="6"/>
        <v>0</v>
      </c>
      <c r="J77" s="237">
        <f t="shared" si="1"/>
        <v>0</v>
      </c>
    </row>
    <row r="78" spans="1:10" ht="15" customHeight="1" hidden="1" outlineLevel="2">
      <c r="A78" s="104" t="s">
        <v>602</v>
      </c>
      <c r="B78" s="274" t="s">
        <v>368</v>
      </c>
      <c r="C78" s="274">
        <v>1180</v>
      </c>
      <c r="D78" s="274">
        <v>12</v>
      </c>
      <c r="E78" s="272">
        <v>0</v>
      </c>
      <c r="F78" s="272">
        <f t="shared" si="4"/>
        <v>0</v>
      </c>
      <c r="G78" s="274">
        <v>6000</v>
      </c>
      <c r="H78" s="266">
        <f t="shared" si="5"/>
        <v>0</v>
      </c>
      <c r="I78" s="266">
        <f t="shared" si="6"/>
        <v>0</v>
      </c>
      <c r="J78" s="237">
        <f t="shared" si="1"/>
        <v>0</v>
      </c>
    </row>
    <row r="79" spans="1:10" s="69" customFormat="1" ht="15" customHeight="1" hidden="1" outlineLevel="1">
      <c r="A79" s="106" t="s">
        <v>365</v>
      </c>
      <c r="B79" s="68" t="s">
        <v>364</v>
      </c>
      <c r="C79" s="68" t="s">
        <v>364</v>
      </c>
      <c r="D79" s="68" t="s">
        <v>364</v>
      </c>
      <c r="E79" s="68" t="s">
        <v>364</v>
      </c>
      <c r="F79" s="68">
        <f>H70</f>
        <v>42428.57142857143</v>
      </c>
      <c r="G79" s="107">
        <v>0.5</v>
      </c>
      <c r="H79" s="108">
        <f>F79*G79</f>
        <v>21214.285714285714</v>
      </c>
      <c r="I79" s="108">
        <f t="shared" si="6"/>
        <v>1767.857142857143</v>
      </c>
      <c r="J79" s="237">
        <f t="shared" si="1"/>
        <v>0.5313667396625016</v>
      </c>
    </row>
    <row r="80" spans="1:10" s="69" customFormat="1" ht="15" customHeight="1" hidden="1" outlineLevel="1">
      <c r="A80" s="106" t="s">
        <v>366</v>
      </c>
      <c r="B80" s="68" t="s">
        <v>364</v>
      </c>
      <c r="C80" s="68" t="s">
        <v>364</v>
      </c>
      <c r="D80" s="68" t="s">
        <v>364</v>
      </c>
      <c r="E80" s="68" t="s">
        <v>364</v>
      </c>
      <c r="F80" s="68">
        <f>H70+H79</f>
        <v>63642.857142857145</v>
      </c>
      <c r="G80" s="107">
        <v>0.12</v>
      </c>
      <c r="H80" s="108">
        <f>F80*G80</f>
        <v>7637.142857142857</v>
      </c>
      <c r="I80" s="108">
        <f t="shared" si="6"/>
        <v>636.4285714285714</v>
      </c>
      <c r="J80" s="237">
        <f t="shared" si="1"/>
        <v>0.1912920262785006</v>
      </c>
    </row>
    <row r="81" spans="1:10" s="69" customFormat="1" ht="15" customHeight="1" hidden="1" outlineLevel="1">
      <c r="A81" s="106" t="s">
        <v>367</v>
      </c>
      <c r="B81" s="68" t="s">
        <v>364</v>
      </c>
      <c r="C81" s="68" t="s">
        <v>364</v>
      </c>
      <c r="D81" s="68" t="s">
        <v>364</v>
      </c>
      <c r="E81" s="68" t="s">
        <v>364</v>
      </c>
      <c r="F81" s="68">
        <f>H70+H79+H80</f>
        <v>71280</v>
      </c>
      <c r="G81" s="107">
        <v>0.262</v>
      </c>
      <c r="H81" s="108">
        <f>F81*G81</f>
        <v>18675.36</v>
      </c>
      <c r="I81" s="108">
        <f t="shared" si="6"/>
        <v>1556.28</v>
      </c>
      <c r="J81" s="237">
        <f t="shared" si="1"/>
        <v>0.4677727682596934</v>
      </c>
    </row>
    <row r="82" spans="1:10" s="69" customFormat="1" ht="15" customHeight="1" hidden="1" outlineLevel="1" collapsed="1">
      <c r="A82" s="106" t="s">
        <v>60</v>
      </c>
      <c r="B82" s="68" t="s">
        <v>364</v>
      </c>
      <c r="C82" s="68" t="s">
        <v>364</v>
      </c>
      <c r="D82" s="68" t="s">
        <v>364</v>
      </c>
      <c r="E82" s="68" t="s">
        <v>364</v>
      </c>
      <c r="F82" s="68" t="s">
        <v>364</v>
      </c>
      <c r="G82" s="68" t="s">
        <v>364</v>
      </c>
      <c r="H82" s="108">
        <f>SUM(H83:H88)</f>
        <v>886.0500000000001</v>
      </c>
      <c r="I82" s="108">
        <f t="shared" si="6"/>
        <v>73.8375</v>
      </c>
      <c r="J82" s="237">
        <f t="shared" si="1"/>
        <v>0.022193417493237153</v>
      </c>
    </row>
    <row r="83" spans="1:10" ht="15" customHeight="1" hidden="1" outlineLevel="2">
      <c r="A83" s="275" t="s">
        <v>603</v>
      </c>
      <c r="B83" s="110" t="s">
        <v>368</v>
      </c>
      <c r="C83" s="276">
        <v>0.002</v>
      </c>
      <c r="D83" s="277">
        <v>12</v>
      </c>
      <c r="E83" s="111">
        <f>E15</f>
        <v>330</v>
      </c>
      <c r="F83" s="110">
        <f aca="true" t="shared" si="7" ref="F83:F88">C83*D83*E83</f>
        <v>7.92</v>
      </c>
      <c r="G83" s="112">
        <v>25</v>
      </c>
      <c r="H83" s="111">
        <f aca="true" t="shared" si="8" ref="H83:H88">F83*G83</f>
        <v>198</v>
      </c>
      <c r="I83" s="111">
        <f t="shared" si="6"/>
        <v>16.5</v>
      </c>
      <c r="J83" s="237">
        <f t="shared" si="1"/>
        <v>0.004959422903516681</v>
      </c>
    </row>
    <row r="84" spans="1:10" ht="15" customHeight="1" hidden="1" outlineLevel="2">
      <c r="A84" s="275" t="s">
        <v>604</v>
      </c>
      <c r="B84" s="110" t="s">
        <v>368</v>
      </c>
      <c r="C84" s="276">
        <v>0.002</v>
      </c>
      <c r="D84" s="277">
        <v>12</v>
      </c>
      <c r="E84" s="111">
        <f>E83</f>
        <v>330</v>
      </c>
      <c r="F84" s="110">
        <f t="shared" si="7"/>
        <v>7.92</v>
      </c>
      <c r="G84" s="112">
        <v>60</v>
      </c>
      <c r="H84" s="111">
        <f t="shared" si="8"/>
        <v>475.2</v>
      </c>
      <c r="I84" s="111">
        <f t="shared" si="6"/>
        <v>39.6</v>
      </c>
      <c r="J84" s="237">
        <f t="shared" si="1"/>
        <v>0.011902614968440037</v>
      </c>
    </row>
    <row r="85" spans="1:10" ht="15" customHeight="1" hidden="1" outlineLevel="2">
      <c r="A85" s="275" t="s">
        <v>605</v>
      </c>
      <c r="B85" s="110" t="s">
        <v>368</v>
      </c>
      <c r="C85" s="276">
        <v>0.003</v>
      </c>
      <c r="D85" s="277">
        <v>12</v>
      </c>
      <c r="E85" s="111">
        <v>0</v>
      </c>
      <c r="F85" s="110">
        <f t="shared" si="7"/>
        <v>0</v>
      </c>
      <c r="G85" s="112">
        <v>25</v>
      </c>
      <c r="H85" s="111">
        <f t="shared" si="8"/>
        <v>0</v>
      </c>
      <c r="I85" s="111">
        <f t="shared" si="6"/>
        <v>0</v>
      </c>
      <c r="J85" s="237">
        <f t="shared" si="1"/>
        <v>0</v>
      </c>
    </row>
    <row r="86" spans="1:10" ht="15" customHeight="1" hidden="1" outlineLevel="2">
      <c r="A86" s="275" t="s">
        <v>606</v>
      </c>
      <c r="B86" s="110" t="s">
        <v>368</v>
      </c>
      <c r="C86" s="276">
        <v>0.002</v>
      </c>
      <c r="D86" s="277">
        <v>12</v>
      </c>
      <c r="E86" s="111">
        <v>0</v>
      </c>
      <c r="F86" s="110">
        <f t="shared" si="7"/>
        <v>0</v>
      </c>
      <c r="G86" s="112">
        <v>60</v>
      </c>
      <c r="H86" s="111">
        <f t="shared" si="8"/>
        <v>0</v>
      </c>
      <c r="I86" s="111">
        <f t="shared" si="6"/>
        <v>0</v>
      </c>
      <c r="J86" s="237">
        <f t="shared" si="1"/>
        <v>0</v>
      </c>
    </row>
    <row r="87" spans="1:10" ht="15" customHeight="1" hidden="1" outlineLevel="2">
      <c r="A87" s="275" t="s">
        <v>607</v>
      </c>
      <c r="B87" s="110" t="s">
        <v>368</v>
      </c>
      <c r="C87" s="276">
        <f>0.003/12</f>
        <v>0.00025</v>
      </c>
      <c r="D87" s="277">
        <v>12</v>
      </c>
      <c r="E87" s="111">
        <f>E15</f>
        <v>330</v>
      </c>
      <c r="F87" s="110">
        <f t="shared" si="7"/>
        <v>0.99</v>
      </c>
      <c r="G87" s="112">
        <v>25</v>
      </c>
      <c r="H87" s="111">
        <f t="shared" si="8"/>
        <v>24.75</v>
      </c>
      <c r="I87" s="111">
        <f t="shared" si="6"/>
        <v>2.0625</v>
      </c>
      <c r="J87" s="237">
        <f t="shared" si="1"/>
        <v>0.0006199278629395852</v>
      </c>
    </row>
    <row r="88" spans="1:10" ht="15" customHeight="1" hidden="1" outlineLevel="2">
      <c r="A88" s="275" t="s">
        <v>608</v>
      </c>
      <c r="B88" s="110" t="s">
        <v>368</v>
      </c>
      <c r="C88" s="276">
        <f>0.006/12</f>
        <v>0.0005</v>
      </c>
      <c r="D88" s="277">
        <v>12</v>
      </c>
      <c r="E88" s="111">
        <f>E15</f>
        <v>330</v>
      </c>
      <c r="F88" s="110">
        <f t="shared" si="7"/>
        <v>1.98</v>
      </c>
      <c r="G88" s="112">
        <v>95</v>
      </c>
      <c r="H88" s="111">
        <f t="shared" si="8"/>
        <v>188.1</v>
      </c>
      <c r="I88" s="111">
        <f t="shared" si="6"/>
        <v>15.674999999999999</v>
      </c>
      <c r="J88" s="237">
        <f t="shared" si="1"/>
        <v>0.004711451758340847</v>
      </c>
    </row>
    <row r="89" spans="1:10" s="69" customFormat="1" ht="15" customHeight="1" hidden="1" outlineLevel="1" collapsed="1">
      <c r="A89" s="106" t="s">
        <v>369</v>
      </c>
      <c r="B89" s="68" t="s">
        <v>364</v>
      </c>
      <c r="C89" s="68" t="s">
        <v>364</v>
      </c>
      <c r="D89" s="68" t="s">
        <v>364</v>
      </c>
      <c r="E89" s="68" t="s">
        <v>364</v>
      </c>
      <c r="F89" s="68" t="s">
        <v>364</v>
      </c>
      <c r="G89" s="68" t="s">
        <v>364</v>
      </c>
      <c r="H89" s="108">
        <f>SUM(H90:H103)</f>
        <v>2983.4</v>
      </c>
      <c r="I89" s="108">
        <f>SUM(I90:I103)</f>
        <v>248.61666666666667</v>
      </c>
      <c r="J89" s="237">
        <f t="shared" si="1"/>
        <v>0.07472698126440237</v>
      </c>
    </row>
    <row r="90" spans="1:10" s="297" customFormat="1" ht="15.75" customHeight="1" hidden="1" outlineLevel="4">
      <c r="A90" s="278" t="s">
        <v>609</v>
      </c>
      <c r="B90" s="279" t="s">
        <v>370</v>
      </c>
      <c r="C90" s="280">
        <f>1/12</f>
        <v>0.08333333333333333</v>
      </c>
      <c r="D90" s="279">
        <v>12</v>
      </c>
      <c r="E90" s="281">
        <v>1</v>
      </c>
      <c r="F90" s="281">
        <f>C90*D90*E90</f>
        <v>1</v>
      </c>
      <c r="G90" s="282">
        <v>500</v>
      </c>
      <c r="H90" s="283">
        <f aca="true" t="shared" si="9" ref="H90:H103">F90*G90</f>
        <v>500</v>
      </c>
      <c r="I90" s="283">
        <f>H90/12</f>
        <v>41.666666666666664</v>
      </c>
      <c r="J90" s="237">
        <f t="shared" si="1"/>
        <v>0.01252379521090071</v>
      </c>
    </row>
    <row r="91" spans="1:10" s="297" customFormat="1" ht="15.75" customHeight="1" hidden="1" outlineLevel="4">
      <c r="A91" s="278" t="s">
        <v>610</v>
      </c>
      <c r="B91" s="279" t="s">
        <v>370</v>
      </c>
      <c r="C91" s="280">
        <v>1</v>
      </c>
      <c r="D91" s="279">
        <v>12</v>
      </c>
      <c r="E91" s="281">
        <v>1</v>
      </c>
      <c r="F91" s="281">
        <f aca="true" t="shared" si="10" ref="F91:F103">C91*D91*E91</f>
        <v>12</v>
      </c>
      <c r="G91" s="282">
        <v>14</v>
      </c>
      <c r="H91" s="283">
        <f t="shared" si="9"/>
        <v>168</v>
      </c>
      <c r="I91" s="283">
        <f aca="true" t="shared" si="11" ref="I91:I103">H91/12</f>
        <v>14</v>
      </c>
      <c r="J91" s="237">
        <f t="shared" si="1"/>
        <v>0.004207995190862639</v>
      </c>
    </row>
    <row r="92" spans="1:10" s="297" customFormat="1" ht="15.75" customHeight="1" hidden="1" outlineLevel="4">
      <c r="A92" s="278" t="s">
        <v>371</v>
      </c>
      <c r="B92" s="279" t="s">
        <v>370</v>
      </c>
      <c r="C92" s="280">
        <f>1/12</f>
        <v>0.08333333333333333</v>
      </c>
      <c r="D92" s="279">
        <v>12</v>
      </c>
      <c r="E92" s="281">
        <v>1</v>
      </c>
      <c r="F92" s="281">
        <f t="shared" si="10"/>
        <v>1</v>
      </c>
      <c r="G92" s="282">
        <v>270</v>
      </c>
      <c r="H92" s="283">
        <f t="shared" si="9"/>
        <v>270</v>
      </c>
      <c r="I92" s="283">
        <f t="shared" si="11"/>
        <v>22.5</v>
      </c>
      <c r="J92" s="237">
        <f t="shared" si="1"/>
        <v>0.006762849413886384</v>
      </c>
    </row>
    <row r="93" spans="1:10" s="297" customFormat="1" ht="15.75" customHeight="1" hidden="1" outlineLevel="4">
      <c r="A93" s="278" t="s">
        <v>372</v>
      </c>
      <c r="B93" s="279" t="s">
        <v>370</v>
      </c>
      <c r="C93" s="280">
        <f>4/12</f>
        <v>0.3333333333333333</v>
      </c>
      <c r="D93" s="279">
        <v>12</v>
      </c>
      <c r="E93" s="281">
        <v>1</v>
      </c>
      <c r="F93" s="281">
        <f t="shared" si="10"/>
        <v>4</v>
      </c>
      <c r="G93" s="282">
        <v>35.1</v>
      </c>
      <c r="H93" s="283">
        <f t="shared" si="9"/>
        <v>140.4</v>
      </c>
      <c r="I93" s="283">
        <f t="shared" si="11"/>
        <v>11.700000000000001</v>
      </c>
      <c r="J93" s="237">
        <f t="shared" si="1"/>
        <v>0.00351668169522092</v>
      </c>
    </row>
    <row r="94" spans="1:10" s="297" customFormat="1" ht="15.75" customHeight="1" hidden="1" outlineLevel="4">
      <c r="A94" s="278" t="s">
        <v>611</v>
      </c>
      <c r="B94" s="279" t="s">
        <v>370</v>
      </c>
      <c r="C94" s="280">
        <f>1/12</f>
        <v>0.08333333333333333</v>
      </c>
      <c r="D94" s="279">
        <v>12</v>
      </c>
      <c r="E94" s="281">
        <v>1</v>
      </c>
      <c r="F94" s="281">
        <f t="shared" si="10"/>
        <v>1</v>
      </c>
      <c r="G94" s="282">
        <v>200</v>
      </c>
      <c r="H94" s="283">
        <f t="shared" si="9"/>
        <v>200</v>
      </c>
      <c r="I94" s="283">
        <f t="shared" si="11"/>
        <v>16.666666666666668</v>
      </c>
      <c r="J94" s="237">
        <f t="shared" si="1"/>
        <v>0.0050095180843602845</v>
      </c>
    </row>
    <row r="95" spans="1:10" s="297" customFormat="1" ht="15.75" customHeight="1" hidden="1" outlineLevel="4">
      <c r="A95" s="278" t="s">
        <v>373</v>
      </c>
      <c r="B95" s="279" t="s">
        <v>370</v>
      </c>
      <c r="C95" s="280">
        <f>1/12</f>
        <v>0.08333333333333333</v>
      </c>
      <c r="D95" s="279">
        <v>12</v>
      </c>
      <c r="E95" s="281">
        <v>1</v>
      </c>
      <c r="F95" s="281">
        <f t="shared" si="10"/>
        <v>1</v>
      </c>
      <c r="G95" s="282">
        <v>100</v>
      </c>
      <c r="H95" s="283">
        <f t="shared" si="9"/>
        <v>100</v>
      </c>
      <c r="I95" s="283">
        <f t="shared" si="11"/>
        <v>8.333333333333334</v>
      </c>
      <c r="J95" s="237">
        <f t="shared" si="1"/>
        <v>0.0025047590421801423</v>
      </c>
    </row>
    <row r="96" spans="1:10" s="297" customFormat="1" ht="15.75" customHeight="1" hidden="1" outlineLevel="4">
      <c r="A96" s="278" t="s">
        <v>374</v>
      </c>
      <c r="B96" s="279" t="s">
        <v>370</v>
      </c>
      <c r="C96" s="280">
        <v>1</v>
      </c>
      <c r="D96" s="279">
        <v>12</v>
      </c>
      <c r="E96" s="281">
        <v>1</v>
      </c>
      <c r="F96" s="281">
        <f t="shared" si="10"/>
        <v>12</v>
      </c>
      <c r="G96" s="282">
        <v>70</v>
      </c>
      <c r="H96" s="283">
        <f t="shared" si="9"/>
        <v>840</v>
      </c>
      <c r="I96" s="283">
        <f t="shared" si="11"/>
        <v>70</v>
      </c>
      <c r="J96" s="237">
        <f t="shared" si="1"/>
        <v>0.021039975954313193</v>
      </c>
    </row>
    <row r="97" spans="1:10" s="297" customFormat="1" ht="15.75" customHeight="1" hidden="1" outlineLevel="4">
      <c r="A97" s="278" t="s">
        <v>375</v>
      </c>
      <c r="B97" s="279" t="s">
        <v>370</v>
      </c>
      <c r="C97" s="280">
        <f>1/12</f>
        <v>0.08333333333333333</v>
      </c>
      <c r="D97" s="279">
        <v>12</v>
      </c>
      <c r="E97" s="281">
        <v>1</v>
      </c>
      <c r="F97" s="281">
        <f t="shared" si="10"/>
        <v>1</v>
      </c>
      <c r="G97" s="282">
        <v>110</v>
      </c>
      <c r="H97" s="283">
        <f t="shared" si="9"/>
        <v>110</v>
      </c>
      <c r="I97" s="283">
        <f t="shared" si="11"/>
        <v>9.166666666666666</v>
      </c>
      <c r="J97" s="237">
        <f t="shared" si="1"/>
        <v>0.0027552349463981565</v>
      </c>
    </row>
    <row r="98" spans="1:10" s="297" customFormat="1" ht="15.75" customHeight="1" hidden="1" outlineLevel="4">
      <c r="A98" s="278" t="s">
        <v>612</v>
      </c>
      <c r="B98" s="279" t="s">
        <v>370</v>
      </c>
      <c r="C98" s="280">
        <f>1/12</f>
        <v>0.08333333333333333</v>
      </c>
      <c r="D98" s="279">
        <v>12</v>
      </c>
      <c r="E98" s="281">
        <v>1</v>
      </c>
      <c r="F98" s="281">
        <f t="shared" si="10"/>
        <v>1</v>
      </c>
      <c r="G98" s="282">
        <v>50</v>
      </c>
      <c r="H98" s="283">
        <f t="shared" si="9"/>
        <v>50</v>
      </c>
      <c r="I98" s="283">
        <f t="shared" si="11"/>
        <v>4.166666666666667</v>
      </c>
      <c r="J98" s="237">
        <f t="shared" si="1"/>
        <v>0.0012523795210900711</v>
      </c>
    </row>
    <row r="99" spans="1:10" s="297" customFormat="1" ht="15.75" customHeight="1" hidden="1" outlineLevel="4">
      <c r="A99" s="278" t="s">
        <v>376</v>
      </c>
      <c r="B99" s="279" t="s">
        <v>370</v>
      </c>
      <c r="C99" s="280">
        <f>1/12</f>
        <v>0.08333333333333333</v>
      </c>
      <c r="D99" s="279">
        <v>12</v>
      </c>
      <c r="E99" s="281">
        <v>1</v>
      </c>
      <c r="F99" s="281">
        <f t="shared" si="10"/>
        <v>1</v>
      </c>
      <c r="G99" s="282">
        <v>130</v>
      </c>
      <c r="H99" s="283">
        <f t="shared" si="9"/>
        <v>130</v>
      </c>
      <c r="I99" s="283">
        <f t="shared" si="11"/>
        <v>10.833333333333334</v>
      </c>
      <c r="J99" s="237">
        <f t="shared" si="1"/>
        <v>0.003256186754834185</v>
      </c>
    </row>
    <row r="100" spans="1:10" s="297" customFormat="1" ht="15.75" customHeight="1" hidden="1" outlineLevel="4">
      <c r="A100" s="278" t="s">
        <v>613</v>
      </c>
      <c r="B100" s="279" t="s">
        <v>370</v>
      </c>
      <c r="C100" s="280">
        <f>0.5/12</f>
        <v>0.041666666666666664</v>
      </c>
      <c r="D100" s="279">
        <v>12</v>
      </c>
      <c r="E100" s="281">
        <v>1</v>
      </c>
      <c r="F100" s="281">
        <f t="shared" si="10"/>
        <v>0.5</v>
      </c>
      <c r="G100" s="282">
        <v>50</v>
      </c>
      <c r="H100" s="283">
        <f t="shared" si="9"/>
        <v>25</v>
      </c>
      <c r="I100" s="283">
        <f t="shared" si="11"/>
        <v>2.0833333333333335</v>
      </c>
      <c r="J100" s="237">
        <f t="shared" si="1"/>
        <v>0.0006261897605450356</v>
      </c>
    </row>
    <row r="101" spans="1:10" s="297" customFormat="1" ht="15.75" customHeight="1" hidden="1" outlineLevel="4">
      <c r="A101" s="278" t="s">
        <v>614</v>
      </c>
      <c r="B101" s="279" t="s">
        <v>370</v>
      </c>
      <c r="C101" s="280">
        <f>1/12</f>
        <v>0.08333333333333333</v>
      </c>
      <c r="D101" s="279">
        <v>12</v>
      </c>
      <c r="E101" s="281">
        <v>1</v>
      </c>
      <c r="F101" s="281">
        <f t="shared" si="10"/>
        <v>1</v>
      </c>
      <c r="G101" s="282">
        <v>60</v>
      </c>
      <c r="H101" s="283">
        <f t="shared" si="9"/>
        <v>60</v>
      </c>
      <c r="I101" s="283">
        <f t="shared" si="11"/>
        <v>5</v>
      </c>
      <c r="J101" s="237">
        <f t="shared" si="1"/>
        <v>0.0015028554253080854</v>
      </c>
    </row>
    <row r="102" spans="1:10" s="297" customFormat="1" ht="15.75" customHeight="1" hidden="1" outlineLevel="4">
      <c r="A102" s="278" t="s">
        <v>377</v>
      </c>
      <c r="B102" s="279" t="s">
        <v>370</v>
      </c>
      <c r="C102" s="280">
        <f>2</f>
        <v>2</v>
      </c>
      <c r="D102" s="279">
        <v>12</v>
      </c>
      <c r="E102" s="281">
        <v>1</v>
      </c>
      <c r="F102" s="281">
        <f t="shared" si="10"/>
        <v>24</v>
      </c>
      <c r="G102" s="282">
        <v>10</v>
      </c>
      <c r="H102" s="283">
        <f t="shared" si="9"/>
        <v>240</v>
      </c>
      <c r="I102" s="283">
        <f t="shared" si="11"/>
        <v>20</v>
      </c>
      <c r="J102" s="237">
        <f t="shared" si="1"/>
        <v>0.006011421701232342</v>
      </c>
    </row>
    <row r="103" spans="1:10" s="297" customFormat="1" ht="15.75" customHeight="1" hidden="1" outlineLevel="4">
      <c r="A103" s="278" t="s">
        <v>378</v>
      </c>
      <c r="B103" s="279" t="s">
        <v>370</v>
      </c>
      <c r="C103" s="280">
        <v>0.5</v>
      </c>
      <c r="D103" s="279">
        <v>12</v>
      </c>
      <c r="E103" s="281">
        <v>1</v>
      </c>
      <c r="F103" s="281">
        <f t="shared" si="10"/>
        <v>6</v>
      </c>
      <c r="G103" s="282">
        <v>25</v>
      </c>
      <c r="H103" s="283">
        <f t="shared" si="9"/>
        <v>150</v>
      </c>
      <c r="I103" s="283">
        <f t="shared" si="11"/>
        <v>12.5</v>
      </c>
      <c r="J103" s="237">
        <f t="shared" si="1"/>
        <v>0.0037571385632702136</v>
      </c>
    </row>
    <row r="104" spans="1:10" s="69" customFormat="1" ht="15" customHeight="1" hidden="1" outlineLevel="1">
      <c r="A104" s="114" t="s">
        <v>615</v>
      </c>
      <c r="B104" s="115" t="s">
        <v>364</v>
      </c>
      <c r="C104" s="115" t="s">
        <v>364</v>
      </c>
      <c r="D104" s="115" t="s">
        <v>364</v>
      </c>
      <c r="E104" s="115" t="s">
        <v>364</v>
      </c>
      <c r="F104" s="115" t="s">
        <v>364</v>
      </c>
      <c r="G104" s="115" t="s">
        <v>364</v>
      </c>
      <c r="H104" s="116">
        <v>0</v>
      </c>
      <c r="I104" s="116">
        <v>0</v>
      </c>
      <c r="J104" s="238">
        <f t="shared" si="1"/>
        <v>0</v>
      </c>
    </row>
    <row r="105" spans="1:10" s="118" customFormat="1" ht="31.5" collapsed="1" thickBot="1">
      <c r="A105" s="232" t="s">
        <v>275</v>
      </c>
      <c r="B105" s="233" t="s">
        <v>359</v>
      </c>
      <c r="C105" s="233" t="s">
        <v>360</v>
      </c>
      <c r="D105" s="233" t="s">
        <v>361</v>
      </c>
      <c r="E105" s="233" t="s">
        <v>329</v>
      </c>
      <c r="F105" s="233" t="s">
        <v>362</v>
      </c>
      <c r="G105" s="221" t="s">
        <v>363</v>
      </c>
      <c r="H105" s="234">
        <f>H106+H117+H118+H119+H120+H124+H151</f>
        <v>48906.35199647349</v>
      </c>
      <c r="I105" s="234">
        <f>H105/12</f>
        <v>4075.5293330394575</v>
      </c>
      <c r="J105" s="235">
        <f t="shared" si="1"/>
        <v>1.2249862738321182</v>
      </c>
    </row>
    <row r="106" spans="1:10" s="69" customFormat="1" ht="15" customHeight="1" hidden="1" outlineLevel="1" collapsed="1">
      <c r="A106" s="98" t="s">
        <v>616</v>
      </c>
      <c r="B106" s="99" t="s">
        <v>364</v>
      </c>
      <c r="C106" s="99" t="s">
        <v>364</v>
      </c>
      <c r="D106" s="99" t="s">
        <v>364</v>
      </c>
      <c r="E106" s="99" t="s">
        <v>364</v>
      </c>
      <c r="F106" s="99">
        <f>F107+F112</f>
        <v>3.5037641621759272</v>
      </c>
      <c r="G106" s="100">
        <v>6000</v>
      </c>
      <c r="H106" s="100">
        <f>F106*G106</f>
        <v>21022.584973055564</v>
      </c>
      <c r="I106" s="100">
        <f>H106/12</f>
        <v>1751.8820810879636</v>
      </c>
      <c r="J106" s="236">
        <f t="shared" si="1"/>
        <v>0.5265650980126131</v>
      </c>
    </row>
    <row r="107" spans="1:10" s="298" customFormat="1" ht="15" customHeight="1" hidden="1" outlineLevel="2">
      <c r="A107" s="258" t="s">
        <v>617</v>
      </c>
      <c r="B107" s="284" t="s">
        <v>364</v>
      </c>
      <c r="C107" s="284" t="s">
        <v>618</v>
      </c>
      <c r="D107" s="284" t="s">
        <v>361</v>
      </c>
      <c r="E107" s="285" t="s">
        <v>329</v>
      </c>
      <c r="F107" s="285">
        <f>SUM(F108:F111)</f>
        <v>1.8266065864183512</v>
      </c>
      <c r="G107" s="286">
        <v>6000</v>
      </c>
      <c r="H107" s="287">
        <f>F107*G107</f>
        <v>10959.639518510106</v>
      </c>
      <c r="I107" s="287">
        <f>H107/5.5</f>
        <v>1992.661730638201</v>
      </c>
      <c r="J107" s="237">
        <f t="shared" si="1"/>
        <v>0.5989364985386838</v>
      </c>
    </row>
    <row r="108" spans="1:10" s="123" customFormat="1" ht="15" customHeight="1" hidden="1" outlineLevel="2">
      <c r="A108" s="288" t="s">
        <v>619</v>
      </c>
      <c r="B108" s="119" t="s">
        <v>379</v>
      </c>
      <c r="C108" s="119">
        <v>1295</v>
      </c>
      <c r="D108" s="119">
        <v>5.5</v>
      </c>
      <c r="E108" s="120">
        <f>E16</f>
        <v>404</v>
      </c>
      <c r="F108" s="120">
        <f>(E108/C108)*D108</f>
        <v>1.715830115830116</v>
      </c>
      <c r="G108" s="119"/>
      <c r="H108" s="121"/>
      <c r="I108" s="121"/>
      <c r="J108" s="237">
        <f t="shared" si="1"/>
        <v>0</v>
      </c>
    </row>
    <row r="109" spans="1:10" s="123" customFormat="1" ht="15" customHeight="1" hidden="1" outlineLevel="2">
      <c r="A109" s="288" t="s">
        <v>620</v>
      </c>
      <c r="B109" s="119" t="s">
        <v>379</v>
      </c>
      <c r="C109" s="119">
        <v>1295</v>
      </c>
      <c r="D109" s="119">
        <v>5.5</v>
      </c>
      <c r="E109" s="120">
        <f>E17</f>
        <v>0</v>
      </c>
      <c r="F109" s="120">
        <f>(E109/C109)*D109</f>
        <v>0</v>
      </c>
      <c r="G109" s="119"/>
      <c r="H109" s="121"/>
      <c r="I109" s="121"/>
      <c r="J109" s="237">
        <f aca="true" t="shared" si="12" ref="J109:J172">I109/$E$9</f>
        <v>0</v>
      </c>
    </row>
    <row r="110" spans="1:10" s="123" customFormat="1" ht="15" customHeight="1" hidden="1" outlineLevel="2">
      <c r="A110" s="288" t="s">
        <v>621</v>
      </c>
      <c r="B110" s="119" t="s">
        <v>379</v>
      </c>
      <c r="C110" s="119">
        <v>1295</v>
      </c>
      <c r="D110" s="119">
        <v>5.5</v>
      </c>
      <c r="E110" s="120">
        <f>E18</f>
        <v>0</v>
      </c>
      <c r="F110" s="120">
        <f>(E110/C110)*D110</f>
        <v>0</v>
      </c>
      <c r="G110" s="119"/>
      <c r="H110" s="121"/>
      <c r="I110" s="121"/>
      <c r="J110" s="237">
        <f t="shared" si="12"/>
        <v>0</v>
      </c>
    </row>
    <row r="111" spans="1:10" s="123" customFormat="1" ht="15" customHeight="1" hidden="1" outlineLevel="2">
      <c r="A111" s="288" t="s">
        <v>622</v>
      </c>
      <c r="B111" s="119" t="s">
        <v>379</v>
      </c>
      <c r="C111" s="119">
        <v>42500</v>
      </c>
      <c r="D111" s="119">
        <v>5.5</v>
      </c>
      <c r="E111" s="120">
        <f>E19</f>
        <v>856</v>
      </c>
      <c r="F111" s="120">
        <f>(E111/C111)*D111</f>
        <v>0.1107764705882353</v>
      </c>
      <c r="G111" s="119"/>
      <c r="H111" s="121"/>
      <c r="I111" s="121"/>
      <c r="J111" s="237">
        <f t="shared" si="12"/>
        <v>0</v>
      </c>
    </row>
    <row r="112" spans="1:10" s="299" customFormat="1" ht="15" customHeight="1" hidden="1" outlineLevel="2">
      <c r="A112" s="258" t="s">
        <v>623</v>
      </c>
      <c r="B112" s="119" t="s">
        <v>364</v>
      </c>
      <c r="C112" s="284" t="s">
        <v>618</v>
      </c>
      <c r="D112" s="284" t="s">
        <v>361</v>
      </c>
      <c r="E112" s="285" t="s">
        <v>329</v>
      </c>
      <c r="F112" s="285">
        <f>SUM(F113:F116)</f>
        <v>1.6771575757575758</v>
      </c>
      <c r="G112" s="289">
        <v>6000</v>
      </c>
      <c r="H112" s="290">
        <f>F112*G112</f>
        <v>10062.945454545456</v>
      </c>
      <c r="I112" s="290">
        <f>H112/6.5</f>
        <v>1548.1454545454546</v>
      </c>
      <c r="J112" s="237">
        <f t="shared" si="12"/>
        <v>0.46532775910593766</v>
      </c>
    </row>
    <row r="113" spans="1:10" s="123" customFormat="1" ht="15" customHeight="1" hidden="1" outlineLevel="2">
      <c r="A113" s="104" t="s">
        <v>619</v>
      </c>
      <c r="B113" s="119" t="s">
        <v>379</v>
      </c>
      <c r="C113" s="119">
        <v>3300</v>
      </c>
      <c r="D113" s="119">
        <v>6.5</v>
      </c>
      <c r="E113" s="120">
        <f>E16</f>
        <v>404</v>
      </c>
      <c r="F113" s="120">
        <f>E113/C113*D113</f>
        <v>0.7957575757575758</v>
      </c>
      <c r="G113" s="119"/>
      <c r="H113" s="121"/>
      <c r="I113" s="121"/>
      <c r="J113" s="237">
        <f t="shared" si="12"/>
        <v>0</v>
      </c>
    </row>
    <row r="114" spans="1:10" s="123" customFormat="1" ht="15" customHeight="1" hidden="1" outlineLevel="2">
      <c r="A114" s="104" t="s">
        <v>621</v>
      </c>
      <c r="B114" s="119" t="s">
        <v>380</v>
      </c>
      <c r="C114" s="119">
        <v>3300</v>
      </c>
      <c r="D114" s="119">
        <v>6.5</v>
      </c>
      <c r="E114" s="120">
        <f>E18</f>
        <v>0</v>
      </c>
      <c r="F114" s="120">
        <f>E114/C114*D114</f>
        <v>0</v>
      </c>
      <c r="G114" s="119"/>
      <c r="H114" s="121"/>
      <c r="I114" s="121"/>
      <c r="J114" s="237">
        <f t="shared" si="12"/>
        <v>0</v>
      </c>
    </row>
    <row r="115" spans="1:10" s="123" customFormat="1" ht="15" customHeight="1" hidden="1" outlineLevel="2">
      <c r="A115" s="104" t="s">
        <v>622</v>
      </c>
      <c r="B115" s="119" t="s">
        <v>624</v>
      </c>
      <c r="C115" s="119">
        <v>8000</v>
      </c>
      <c r="D115" s="119">
        <v>6.5</v>
      </c>
      <c r="E115" s="120">
        <f>E19</f>
        <v>856</v>
      </c>
      <c r="F115" s="120">
        <f>E115/C115*D115</f>
        <v>0.6955</v>
      </c>
      <c r="G115" s="119"/>
      <c r="H115" s="121"/>
      <c r="I115" s="121"/>
      <c r="J115" s="237">
        <f t="shared" si="12"/>
        <v>0</v>
      </c>
    </row>
    <row r="116" spans="1:10" s="123" customFormat="1" ht="15" customHeight="1" hidden="1" outlineLevel="2">
      <c r="A116" s="104" t="s">
        <v>625</v>
      </c>
      <c r="B116" s="119" t="s">
        <v>626</v>
      </c>
      <c r="C116" s="119">
        <v>10000</v>
      </c>
      <c r="D116" s="119">
        <v>6.5</v>
      </c>
      <c r="E116" s="120">
        <f>E20</f>
        <v>286</v>
      </c>
      <c r="F116" s="120">
        <f>E116/C116*D116</f>
        <v>0.1859</v>
      </c>
      <c r="G116" s="119"/>
      <c r="H116" s="121"/>
      <c r="I116" s="121"/>
      <c r="J116" s="237">
        <f t="shared" si="12"/>
        <v>0</v>
      </c>
    </row>
    <row r="117" spans="1:10" s="69" customFormat="1" ht="15" customHeight="1" hidden="1" outlineLevel="1">
      <c r="A117" s="106" t="s">
        <v>365</v>
      </c>
      <c r="B117" s="68" t="s">
        <v>364</v>
      </c>
      <c r="C117" s="68" t="s">
        <v>364</v>
      </c>
      <c r="D117" s="68" t="s">
        <v>364</v>
      </c>
      <c r="E117" s="68" t="s">
        <v>364</v>
      </c>
      <c r="F117" s="68">
        <f>H106</f>
        <v>21022.584973055564</v>
      </c>
      <c r="G117" s="107">
        <v>0.5</v>
      </c>
      <c r="H117" s="108">
        <f>F117*G117</f>
        <v>10511.292486527782</v>
      </c>
      <c r="I117" s="108">
        <f aca="true" t="shared" si="13" ref="I117:I151">H117/12</f>
        <v>875.9410405439818</v>
      </c>
      <c r="J117" s="237">
        <f t="shared" si="12"/>
        <v>0.26328254900630654</v>
      </c>
    </row>
    <row r="118" spans="1:10" s="69" customFormat="1" ht="15" customHeight="1" hidden="1" outlineLevel="1">
      <c r="A118" s="106" t="s">
        <v>366</v>
      </c>
      <c r="B118" s="68" t="s">
        <v>364</v>
      </c>
      <c r="C118" s="68" t="s">
        <v>364</v>
      </c>
      <c r="D118" s="68" t="s">
        <v>364</v>
      </c>
      <c r="E118" s="68" t="s">
        <v>364</v>
      </c>
      <c r="F118" s="68">
        <f>H106+H117</f>
        <v>31533.877459583346</v>
      </c>
      <c r="G118" s="107">
        <v>0.12</v>
      </c>
      <c r="H118" s="108">
        <f>F118*G118</f>
        <v>3784.0652951500015</v>
      </c>
      <c r="I118" s="108">
        <f t="shared" si="13"/>
        <v>315.33877459583346</v>
      </c>
      <c r="J118" s="237">
        <f t="shared" si="12"/>
        <v>0.09478171764227035</v>
      </c>
    </row>
    <row r="119" spans="1:10" s="69" customFormat="1" ht="15" customHeight="1" hidden="1" outlineLevel="1">
      <c r="A119" s="106" t="s">
        <v>367</v>
      </c>
      <c r="B119" s="68" t="s">
        <v>364</v>
      </c>
      <c r="C119" s="68" t="s">
        <v>364</v>
      </c>
      <c r="D119" s="68" t="s">
        <v>364</v>
      </c>
      <c r="E119" s="68" t="s">
        <v>364</v>
      </c>
      <c r="F119" s="68">
        <f>H106+H117+H118</f>
        <v>35317.94275473335</v>
      </c>
      <c r="G119" s="107">
        <v>0.262</v>
      </c>
      <c r="H119" s="108">
        <f>F119*G119</f>
        <v>9253.301001740138</v>
      </c>
      <c r="I119" s="108">
        <f t="shared" si="13"/>
        <v>771.1084168116781</v>
      </c>
      <c r="J119" s="237">
        <f t="shared" si="12"/>
        <v>0.2317728935412318</v>
      </c>
    </row>
    <row r="120" spans="1:10" s="69" customFormat="1" ht="15" customHeight="1" hidden="1" outlineLevel="1" collapsed="1">
      <c r="A120" s="106" t="s">
        <v>627</v>
      </c>
      <c r="B120" s="68" t="s">
        <v>364</v>
      </c>
      <c r="C120" s="124" t="s">
        <v>364</v>
      </c>
      <c r="D120" s="124" t="s">
        <v>364</v>
      </c>
      <c r="E120" s="124" t="s">
        <v>364</v>
      </c>
      <c r="F120" s="125" t="s">
        <v>364</v>
      </c>
      <c r="G120" s="125" t="s">
        <v>364</v>
      </c>
      <c r="H120" s="108">
        <f>H121+H122+H123</f>
        <v>1183.85824</v>
      </c>
      <c r="I120" s="108">
        <f>H120/12</f>
        <v>98.65485333333334</v>
      </c>
      <c r="J120" s="237">
        <f t="shared" si="12"/>
        <v>0.02965279631299469</v>
      </c>
    </row>
    <row r="121" spans="1:10" s="119" customFormat="1" ht="15" customHeight="1" hidden="1" outlineLevel="2">
      <c r="A121" s="126" t="s">
        <v>628</v>
      </c>
      <c r="B121" s="120" t="s">
        <v>380</v>
      </c>
      <c r="C121" s="291">
        <v>0.002</v>
      </c>
      <c r="D121" s="127">
        <v>1</v>
      </c>
      <c r="E121" s="292">
        <f>E16/2</f>
        <v>202</v>
      </c>
      <c r="F121" s="120">
        <f>C121*D121*E121</f>
        <v>0.404</v>
      </c>
      <c r="G121" s="121">
        <f>785+1823.56</f>
        <v>2608.56</v>
      </c>
      <c r="H121" s="121">
        <f>F121*G121</f>
        <v>1053.85824</v>
      </c>
      <c r="I121" s="121">
        <f>H121/12</f>
        <v>87.82152</v>
      </c>
      <c r="J121" s="237">
        <f t="shared" si="12"/>
        <v>0.026396609558160505</v>
      </c>
    </row>
    <row r="122" spans="1:10" s="119" customFormat="1" ht="15" customHeight="1" hidden="1" outlineLevel="2">
      <c r="A122" s="126" t="s">
        <v>629</v>
      </c>
      <c r="B122" s="120" t="s">
        <v>630</v>
      </c>
      <c r="C122" s="128">
        <f>1/60</f>
        <v>0.016666666666666666</v>
      </c>
      <c r="D122" s="127">
        <v>1</v>
      </c>
      <c r="E122" s="292">
        <f>E26</f>
        <v>1</v>
      </c>
      <c r="F122" s="120">
        <f>C122*D122*E122</f>
        <v>0.016666666666666666</v>
      </c>
      <c r="G122" s="121">
        <v>7800</v>
      </c>
      <c r="H122" s="121">
        <f>F122*G122</f>
        <v>130</v>
      </c>
      <c r="I122" s="121">
        <f>H122/12</f>
        <v>10.833333333333334</v>
      </c>
      <c r="J122" s="237">
        <f t="shared" si="12"/>
        <v>0.003256186754834185</v>
      </c>
    </row>
    <row r="123" spans="1:10" s="119" customFormat="1" ht="15" customHeight="1" hidden="1" outlineLevel="2">
      <c r="A123" s="126" t="s">
        <v>631</v>
      </c>
      <c r="B123" s="120" t="s">
        <v>380</v>
      </c>
      <c r="C123" s="128">
        <v>15</v>
      </c>
      <c r="D123" s="127">
        <v>1</v>
      </c>
      <c r="E123" s="292">
        <v>0</v>
      </c>
      <c r="F123" s="120">
        <f>C123*D123*E123</f>
        <v>0</v>
      </c>
      <c r="G123" s="121">
        <v>150</v>
      </c>
      <c r="H123" s="121">
        <f>F123*G123</f>
        <v>0</v>
      </c>
      <c r="I123" s="121">
        <f>H123/12</f>
        <v>0</v>
      </c>
      <c r="J123" s="237">
        <f t="shared" si="12"/>
        <v>0</v>
      </c>
    </row>
    <row r="124" spans="1:10" ht="15" customHeight="1" hidden="1" outlineLevel="1" collapsed="1">
      <c r="A124" s="106" t="s">
        <v>369</v>
      </c>
      <c r="B124" s="68" t="s">
        <v>364</v>
      </c>
      <c r="C124" s="124" t="s">
        <v>364</v>
      </c>
      <c r="D124" s="124" t="s">
        <v>364</v>
      </c>
      <c r="E124" s="124" t="s">
        <v>364</v>
      </c>
      <c r="F124" s="125" t="s">
        <v>364</v>
      </c>
      <c r="G124" s="125" t="s">
        <v>364</v>
      </c>
      <c r="H124" s="108">
        <f>SUM(H125:H150)</f>
        <v>3151.25</v>
      </c>
      <c r="I124" s="108">
        <f t="shared" si="13"/>
        <v>262.6041666666667</v>
      </c>
      <c r="J124" s="237">
        <f t="shared" si="12"/>
        <v>0.07893121931670175</v>
      </c>
    </row>
    <row r="125" spans="1:10" s="300" customFormat="1" ht="17.25" customHeight="1" hidden="1" outlineLevel="3">
      <c r="A125" s="104" t="s">
        <v>632</v>
      </c>
      <c r="B125" s="129" t="s">
        <v>370</v>
      </c>
      <c r="C125" s="130">
        <f>1/12</f>
        <v>0.08333333333333333</v>
      </c>
      <c r="D125" s="129">
        <v>12</v>
      </c>
      <c r="E125" s="129">
        <v>0.5</v>
      </c>
      <c r="F125" s="131">
        <f>C125*D125*E125</f>
        <v>0.5</v>
      </c>
      <c r="G125" s="132">
        <v>500</v>
      </c>
      <c r="H125" s="133">
        <f>F125*G125</f>
        <v>250</v>
      </c>
      <c r="I125" s="133">
        <f t="shared" si="13"/>
        <v>20.833333333333332</v>
      </c>
      <c r="J125" s="237">
        <f t="shared" si="12"/>
        <v>0.006261897605450355</v>
      </c>
    </row>
    <row r="126" spans="1:10" s="300" customFormat="1" ht="17.25" customHeight="1" hidden="1" outlineLevel="3">
      <c r="A126" s="104" t="s">
        <v>381</v>
      </c>
      <c r="B126" s="129" t="s">
        <v>370</v>
      </c>
      <c r="C126" s="130">
        <v>1</v>
      </c>
      <c r="D126" s="129">
        <v>12</v>
      </c>
      <c r="E126" s="129">
        <v>0.5</v>
      </c>
      <c r="F126" s="131">
        <f aca="true" t="shared" si="14" ref="F126:F150">C126*D126*E126</f>
        <v>6</v>
      </c>
      <c r="G126" s="132">
        <v>22</v>
      </c>
      <c r="H126" s="133">
        <f aca="true" t="shared" si="15" ref="H126:H148">F126*G126</f>
        <v>132</v>
      </c>
      <c r="I126" s="133">
        <f t="shared" si="13"/>
        <v>11</v>
      </c>
      <c r="J126" s="237">
        <f t="shared" si="12"/>
        <v>0.0033062819356777877</v>
      </c>
    </row>
    <row r="127" spans="1:10" s="300" customFormat="1" ht="17.25" customHeight="1" hidden="1" outlineLevel="3">
      <c r="A127" s="104" t="s">
        <v>382</v>
      </c>
      <c r="B127" s="129" t="s">
        <v>370</v>
      </c>
      <c r="C127" s="130">
        <f>1/24</f>
        <v>0.041666666666666664</v>
      </c>
      <c r="D127" s="129">
        <v>12</v>
      </c>
      <c r="E127" s="129">
        <v>0.5</v>
      </c>
      <c r="F127" s="131">
        <f t="shared" si="14"/>
        <v>0.25</v>
      </c>
      <c r="G127" s="132">
        <v>165</v>
      </c>
      <c r="H127" s="133">
        <f t="shared" si="15"/>
        <v>41.25</v>
      </c>
      <c r="I127" s="133">
        <f t="shared" si="13"/>
        <v>3.4375</v>
      </c>
      <c r="J127" s="237">
        <f t="shared" si="12"/>
        <v>0.0010332131048993087</v>
      </c>
    </row>
    <row r="128" spans="1:10" s="300" customFormat="1" ht="17.25" customHeight="1" hidden="1" outlineLevel="3">
      <c r="A128" s="104" t="s">
        <v>633</v>
      </c>
      <c r="B128" s="129" t="s">
        <v>370</v>
      </c>
      <c r="C128" s="130">
        <f>1/12</f>
        <v>0.08333333333333333</v>
      </c>
      <c r="D128" s="129">
        <v>12</v>
      </c>
      <c r="E128" s="129">
        <v>0.5</v>
      </c>
      <c r="F128" s="131">
        <f t="shared" si="14"/>
        <v>0.5</v>
      </c>
      <c r="G128" s="132">
        <v>311</v>
      </c>
      <c r="H128" s="133">
        <f t="shared" si="15"/>
        <v>155.5</v>
      </c>
      <c r="I128" s="133">
        <f t="shared" si="13"/>
        <v>12.958333333333334</v>
      </c>
      <c r="J128" s="237">
        <f t="shared" si="12"/>
        <v>0.0038949003105901215</v>
      </c>
    </row>
    <row r="129" spans="1:10" s="300" customFormat="1" ht="17.25" customHeight="1" hidden="1" outlineLevel="3">
      <c r="A129" s="104" t="s">
        <v>371</v>
      </c>
      <c r="B129" s="129" t="s">
        <v>370</v>
      </c>
      <c r="C129" s="130">
        <f>1/12</f>
        <v>0.08333333333333333</v>
      </c>
      <c r="D129" s="129">
        <v>12</v>
      </c>
      <c r="E129" s="129">
        <v>0.5</v>
      </c>
      <c r="F129" s="131">
        <f t="shared" si="14"/>
        <v>0.5</v>
      </c>
      <c r="G129" s="132">
        <v>270</v>
      </c>
      <c r="H129" s="133">
        <f t="shared" si="15"/>
        <v>135</v>
      </c>
      <c r="I129" s="133">
        <f t="shared" si="13"/>
        <v>11.25</v>
      </c>
      <c r="J129" s="237">
        <f t="shared" si="12"/>
        <v>0.003381424706943192</v>
      </c>
    </row>
    <row r="130" spans="1:10" s="300" customFormat="1" ht="17.25" customHeight="1" hidden="1" outlineLevel="3">
      <c r="A130" s="104" t="s">
        <v>373</v>
      </c>
      <c r="B130" s="129" t="s">
        <v>370</v>
      </c>
      <c r="C130" s="130">
        <f>1/12</f>
        <v>0.08333333333333333</v>
      </c>
      <c r="D130" s="129">
        <v>12</v>
      </c>
      <c r="E130" s="129">
        <v>0.5</v>
      </c>
      <c r="F130" s="131">
        <f t="shared" si="14"/>
        <v>0.5</v>
      </c>
      <c r="G130" s="132">
        <v>50</v>
      </c>
      <c r="H130" s="133">
        <f t="shared" si="15"/>
        <v>25</v>
      </c>
      <c r="I130" s="133">
        <f t="shared" si="13"/>
        <v>2.0833333333333335</v>
      </c>
      <c r="J130" s="237">
        <f t="shared" si="12"/>
        <v>0.0006261897605450356</v>
      </c>
    </row>
    <row r="131" spans="1:10" s="300" customFormat="1" ht="17.25" customHeight="1" hidden="1" outlineLevel="3">
      <c r="A131" s="104" t="s">
        <v>634</v>
      </c>
      <c r="B131" s="129" t="s">
        <v>370</v>
      </c>
      <c r="C131" s="130">
        <f>1/(2.5*12)</f>
        <v>0.03333333333333333</v>
      </c>
      <c r="D131" s="129">
        <v>12</v>
      </c>
      <c r="E131" s="129">
        <v>0.5</v>
      </c>
      <c r="F131" s="131">
        <f t="shared" si="14"/>
        <v>0.2</v>
      </c>
      <c r="G131" s="132">
        <v>680</v>
      </c>
      <c r="H131" s="133">
        <f t="shared" si="15"/>
        <v>136</v>
      </c>
      <c r="I131" s="133">
        <f t="shared" si="13"/>
        <v>11.333333333333334</v>
      </c>
      <c r="J131" s="237">
        <f t="shared" si="12"/>
        <v>0.0034064722973649935</v>
      </c>
    </row>
    <row r="132" spans="1:10" s="300" customFormat="1" ht="17.25" customHeight="1" hidden="1" outlineLevel="3">
      <c r="A132" s="104" t="s">
        <v>635</v>
      </c>
      <c r="B132" s="129" t="s">
        <v>370</v>
      </c>
      <c r="C132" s="130">
        <f>1/(3*12)</f>
        <v>0.027777777777777776</v>
      </c>
      <c r="D132" s="129">
        <v>12</v>
      </c>
      <c r="E132" s="129">
        <v>0.5</v>
      </c>
      <c r="F132" s="131">
        <f t="shared" si="14"/>
        <v>0.16666666666666666</v>
      </c>
      <c r="G132" s="132">
        <v>750</v>
      </c>
      <c r="H132" s="133">
        <v>0</v>
      </c>
      <c r="I132" s="133">
        <f t="shared" si="13"/>
        <v>0</v>
      </c>
      <c r="J132" s="237">
        <f t="shared" si="12"/>
        <v>0</v>
      </c>
    </row>
    <row r="133" spans="1:10" s="300" customFormat="1" ht="17.25" customHeight="1" hidden="1" outlineLevel="3">
      <c r="A133" s="104" t="s">
        <v>636</v>
      </c>
      <c r="B133" s="129" t="s">
        <v>370</v>
      </c>
      <c r="C133" s="130">
        <f>70/5.5</f>
        <v>12.727272727272727</v>
      </c>
      <c r="D133" s="129">
        <v>5.5</v>
      </c>
      <c r="E133" s="129">
        <v>0.5</v>
      </c>
      <c r="F133" s="131">
        <f t="shared" si="14"/>
        <v>35</v>
      </c>
      <c r="G133" s="132">
        <v>17</v>
      </c>
      <c r="H133" s="133">
        <f t="shared" si="15"/>
        <v>595</v>
      </c>
      <c r="I133" s="133">
        <f t="shared" si="13"/>
        <v>49.583333333333336</v>
      </c>
      <c r="J133" s="237">
        <f t="shared" si="12"/>
        <v>0.014903316300971848</v>
      </c>
    </row>
    <row r="134" spans="1:10" s="300" customFormat="1" ht="17.25" customHeight="1" hidden="1" outlineLevel="3">
      <c r="A134" s="104" t="s">
        <v>637</v>
      </c>
      <c r="B134" s="129" t="s">
        <v>370</v>
      </c>
      <c r="C134" s="130">
        <f>1/12</f>
        <v>0.08333333333333333</v>
      </c>
      <c r="D134" s="129">
        <v>12</v>
      </c>
      <c r="E134" s="129">
        <v>0.5</v>
      </c>
      <c r="F134" s="131">
        <f t="shared" si="14"/>
        <v>0.5</v>
      </c>
      <c r="G134" s="132">
        <v>60</v>
      </c>
      <c r="H134" s="133">
        <f t="shared" si="15"/>
        <v>30</v>
      </c>
      <c r="I134" s="133">
        <f t="shared" si="13"/>
        <v>2.5</v>
      </c>
      <c r="J134" s="237">
        <f t="shared" si="12"/>
        <v>0.0007514277126540427</v>
      </c>
    </row>
    <row r="135" spans="1:10" s="300" customFormat="1" ht="17.25" customHeight="1" hidden="1" outlineLevel="3">
      <c r="A135" s="104" t="s">
        <v>638</v>
      </c>
      <c r="B135" s="129" t="s">
        <v>370</v>
      </c>
      <c r="C135" s="130">
        <f aca="true" t="shared" si="16" ref="C135:C148">1/12</f>
        <v>0.08333333333333333</v>
      </c>
      <c r="D135" s="129">
        <v>12</v>
      </c>
      <c r="E135" s="129">
        <v>0.5</v>
      </c>
      <c r="F135" s="131">
        <f t="shared" si="14"/>
        <v>0.5</v>
      </c>
      <c r="G135" s="132">
        <v>0</v>
      </c>
      <c r="H135" s="133">
        <f t="shared" si="15"/>
        <v>0</v>
      </c>
      <c r="I135" s="133">
        <f t="shared" si="13"/>
        <v>0</v>
      </c>
      <c r="J135" s="237">
        <f t="shared" si="12"/>
        <v>0</v>
      </c>
    </row>
    <row r="136" spans="1:10" s="300" customFormat="1" ht="17.25" customHeight="1" hidden="1" outlineLevel="3">
      <c r="A136" s="104" t="s">
        <v>639</v>
      </c>
      <c r="B136" s="129" t="s">
        <v>370</v>
      </c>
      <c r="C136" s="130">
        <f t="shared" si="16"/>
        <v>0.08333333333333333</v>
      </c>
      <c r="D136" s="129">
        <v>12</v>
      </c>
      <c r="E136" s="129">
        <v>0.5</v>
      </c>
      <c r="F136" s="131">
        <f t="shared" si="14"/>
        <v>0.5</v>
      </c>
      <c r="G136" s="132">
        <v>375</v>
      </c>
      <c r="H136" s="133">
        <f t="shared" si="15"/>
        <v>187.5</v>
      </c>
      <c r="I136" s="133">
        <f t="shared" si="13"/>
        <v>15.625</v>
      </c>
      <c r="J136" s="237">
        <f t="shared" si="12"/>
        <v>0.004696423204087767</v>
      </c>
    </row>
    <row r="137" spans="1:10" s="300" customFormat="1" ht="17.25" customHeight="1" hidden="1" outlineLevel="3">
      <c r="A137" s="104" t="s">
        <v>640</v>
      </c>
      <c r="B137" s="129" t="s">
        <v>370</v>
      </c>
      <c r="C137" s="130">
        <f t="shared" si="16"/>
        <v>0.08333333333333333</v>
      </c>
      <c r="D137" s="129">
        <v>12</v>
      </c>
      <c r="E137" s="129">
        <v>0.5</v>
      </c>
      <c r="F137" s="131">
        <f t="shared" si="14"/>
        <v>0.5</v>
      </c>
      <c r="G137" s="132">
        <v>120</v>
      </c>
      <c r="H137" s="133">
        <f t="shared" si="15"/>
        <v>60</v>
      </c>
      <c r="I137" s="133">
        <f t="shared" si="13"/>
        <v>5</v>
      </c>
      <c r="J137" s="237">
        <f t="shared" si="12"/>
        <v>0.0015028554253080854</v>
      </c>
    </row>
    <row r="138" spans="1:10" s="300" customFormat="1" ht="17.25" customHeight="1" hidden="1" outlineLevel="3">
      <c r="A138" s="104" t="s">
        <v>641</v>
      </c>
      <c r="B138" s="129" t="s">
        <v>370</v>
      </c>
      <c r="C138" s="130">
        <f t="shared" si="16"/>
        <v>0.08333333333333333</v>
      </c>
      <c r="D138" s="129">
        <v>12</v>
      </c>
      <c r="E138" s="129">
        <v>0.5</v>
      </c>
      <c r="F138" s="131">
        <f t="shared" si="14"/>
        <v>0.5</v>
      </c>
      <c r="G138" s="132">
        <v>120</v>
      </c>
      <c r="H138" s="133">
        <f t="shared" si="15"/>
        <v>60</v>
      </c>
      <c r="I138" s="133">
        <f t="shared" si="13"/>
        <v>5</v>
      </c>
      <c r="J138" s="237">
        <f t="shared" si="12"/>
        <v>0.0015028554253080854</v>
      </c>
    </row>
    <row r="139" spans="1:10" s="300" customFormat="1" ht="17.25" customHeight="1" hidden="1" outlineLevel="3">
      <c r="A139" s="104" t="s">
        <v>642</v>
      </c>
      <c r="B139" s="129" t="s">
        <v>370</v>
      </c>
      <c r="C139" s="130">
        <f t="shared" si="16"/>
        <v>0.08333333333333333</v>
      </c>
      <c r="D139" s="129">
        <v>12</v>
      </c>
      <c r="E139" s="129">
        <v>0.5</v>
      </c>
      <c r="F139" s="131">
        <f t="shared" si="14"/>
        <v>0.5</v>
      </c>
      <c r="G139" s="132">
        <v>700</v>
      </c>
      <c r="H139" s="133">
        <f t="shared" si="15"/>
        <v>350</v>
      </c>
      <c r="I139" s="133">
        <f t="shared" si="13"/>
        <v>29.166666666666668</v>
      </c>
      <c r="J139" s="237">
        <f t="shared" si="12"/>
        <v>0.008766656647630499</v>
      </c>
    </row>
    <row r="140" spans="1:10" s="300" customFormat="1" ht="17.25" customHeight="1" hidden="1" outlineLevel="3">
      <c r="A140" s="104" t="s">
        <v>643</v>
      </c>
      <c r="B140" s="129" t="s">
        <v>370</v>
      </c>
      <c r="C140" s="130">
        <f t="shared" si="16"/>
        <v>0.08333333333333333</v>
      </c>
      <c r="D140" s="129">
        <v>12</v>
      </c>
      <c r="E140" s="129">
        <v>0.5</v>
      </c>
      <c r="F140" s="131">
        <v>1</v>
      </c>
      <c r="G140" s="132">
        <v>0</v>
      </c>
      <c r="H140" s="133">
        <f t="shared" si="15"/>
        <v>0</v>
      </c>
      <c r="I140" s="133">
        <f t="shared" si="13"/>
        <v>0</v>
      </c>
      <c r="J140" s="237">
        <f t="shared" si="12"/>
        <v>0</v>
      </c>
    </row>
    <row r="141" spans="1:10" s="300" customFormat="1" ht="17.25" customHeight="1" hidden="1" outlineLevel="3">
      <c r="A141" s="104" t="s">
        <v>644</v>
      </c>
      <c r="B141" s="129" t="s">
        <v>370</v>
      </c>
      <c r="C141" s="130">
        <f t="shared" si="16"/>
        <v>0.08333333333333333</v>
      </c>
      <c r="D141" s="129">
        <v>12</v>
      </c>
      <c r="E141" s="129">
        <v>0.5</v>
      </c>
      <c r="F141" s="131">
        <f t="shared" si="14"/>
        <v>0.5</v>
      </c>
      <c r="G141" s="132">
        <v>0</v>
      </c>
      <c r="H141" s="133">
        <f t="shared" si="15"/>
        <v>0</v>
      </c>
      <c r="I141" s="133">
        <f t="shared" si="13"/>
        <v>0</v>
      </c>
      <c r="J141" s="237">
        <f t="shared" si="12"/>
        <v>0</v>
      </c>
    </row>
    <row r="142" spans="1:10" s="300" customFormat="1" ht="17.25" customHeight="1" hidden="1" outlineLevel="3">
      <c r="A142" s="104" t="s">
        <v>376</v>
      </c>
      <c r="B142" s="129" t="s">
        <v>370</v>
      </c>
      <c r="C142" s="130">
        <f t="shared" si="16"/>
        <v>0.08333333333333333</v>
      </c>
      <c r="D142" s="129">
        <v>12</v>
      </c>
      <c r="E142" s="129">
        <v>0.5</v>
      </c>
      <c r="F142" s="131">
        <f t="shared" si="14"/>
        <v>0.5</v>
      </c>
      <c r="G142" s="132">
        <v>130</v>
      </c>
      <c r="H142" s="133">
        <f t="shared" si="15"/>
        <v>65</v>
      </c>
      <c r="I142" s="133">
        <f t="shared" si="13"/>
        <v>5.416666666666667</v>
      </c>
      <c r="J142" s="237">
        <f t="shared" si="12"/>
        <v>0.0016280933774170925</v>
      </c>
    </row>
    <row r="143" spans="1:10" s="300" customFormat="1" ht="17.25" customHeight="1" hidden="1" outlineLevel="3">
      <c r="A143" s="104" t="s">
        <v>645</v>
      </c>
      <c r="B143" s="129" t="s">
        <v>370</v>
      </c>
      <c r="C143" s="130">
        <f t="shared" si="16"/>
        <v>0.08333333333333333</v>
      </c>
      <c r="D143" s="129">
        <v>12</v>
      </c>
      <c r="E143" s="129">
        <v>0.5</v>
      </c>
      <c r="F143" s="131">
        <f t="shared" si="14"/>
        <v>0.5</v>
      </c>
      <c r="G143" s="132">
        <v>75</v>
      </c>
      <c r="H143" s="133">
        <f t="shared" si="15"/>
        <v>37.5</v>
      </c>
      <c r="I143" s="133">
        <f t="shared" si="13"/>
        <v>3.125</v>
      </c>
      <c r="J143" s="237">
        <f t="shared" si="12"/>
        <v>0.0009392846408175534</v>
      </c>
    </row>
    <row r="144" spans="1:10" s="300" customFormat="1" ht="17.25" customHeight="1" hidden="1" outlineLevel="3">
      <c r="A144" s="104" t="s">
        <v>641</v>
      </c>
      <c r="B144" s="129" t="s">
        <v>370</v>
      </c>
      <c r="C144" s="130">
        <f t="shared" si="16"/>
        <v>0.08333333333333333</v>
      </c>
      <c r="D144" s="129">
        <v>12</v>
      </c>
      <c r="E144" s="129">
        <v>0.5</v>
      </c>
      <c r="F144" s="131">
        <f t="shared" si="14"/>
        <v>0.5</v>
      </c>
      <c r="G144" s="132">
        <f>G134</f>
        <v>60</v>
      </c>
      <c r="H144" s="133">
        <f t="shared" si="15"/>
        <v>30</v>
      </c>
      <c r="I144" s="133">
        <f t="shared" si="13"/>
        <v>2.5</v>
      </c>
      <c r="J144" s="237">
        <f t="shared" si="12"/>
        <v>0.0007514277126540427</v>
      </c>
    </row>
    <row r="145" spans="1:10" s="300" customFormat="1" ht="17.25" customHeight="1" hidden="1" outlineLevel="3">
      <c r="A145" s="104" t="s">
        <v>646</v>
      </c>
      <c r="B145" s="129" t="s">
        <v>370</v>
      </c>
      <c r="C145" s="130">
        <f>53/6.5</f>
        <v>8.153846153846153</v>
      </c>
      <c r="D145" s="129">
        <v>6.5</v>
      </c>
      <c r="E145" s="129">
        <v>0.5</v>
      </c>
      <c r="F145" s="131">
        <f>C145*D145*E145</f>
        <v>26.5</v>
      </c>
      <c r="G145" s="132">
        <v>17</v>
      </c>
      <c r="H145" s="133">
        <f t="shared" si="15"/>
        <v>450.5</v>
      </c>
      <c r="I145" s="133">
        <f t="shared" si="13"/>
        <v>37.541666666666664</v>
      </c>
      <c r="J145" s="237">
        <f t="shared" si="12"/>
        <v>0.01128393948502154</v>
      </c>
    </row>
    <row r="146" spans="1:10" s="300" customFormat="1" ht="17.25" customHeight="1" hidden="1" outlineLevel="3">
      <c r="A146" s="104" t="s">
        <v>637</v>
      </c>
      <c r="B146" s="129" t="s">
        <v>370</v>
      </c>
      <c r="C146" s="130">
        <f t="shared" si="16"/>
        <v>0.08333333333333333</v>
      </c>
      <c r="D146" s="129">
        <v>12</v>
      </c>
      <c r="E146" s="129">
        <v>0.5</v>
      </c>
      <c r="F146" s="131">
        <f t="shared" si="14"/>
        <v>0.5</v>
      </c>
      <c r="G146" s="132">
        <v>60</v>
      </c>
      <c r="H146" s="133">
        <f t="shared" si="15"/>
        <v>30</v>
      </c>
      <c r="I146" s="133">
        <f t="shared" si="13"/>
        <v>2.5</v>
      </c>
      <c r="J146" s="237">
        <f t="shared" si="12"/>
        <v>0.0007514277126540427</v>
      </c>
    </row>
    <row r="147" spans="1:10" s="300" customFormat="1" ht="17.25" customHeight="1" hidden="1" outlineLevel="3">
      <c r="A147" s="104" t="s">
        <v>647</v>
      </c>
      <c r="B147" s="129" t="s">
        <v>370</v>
      </c>
      <c r="C147" s="130">
        <v>31</v>
      </c>
      <c r="D147" s="129">
        <v>12</v>
      </c>
      <c r="E147" s="129">
        <v>0.5</v>
      </c>
      <c r="F147" s="131">
        <f t="shared" si="14"/>
        <v>186</v>
      </c>
      <c r="G147" s="132">
        <v>1</v>
      </c>
      <c r="H147" s="133">
        <f t="shared" si="15"/>
        <v>186</v>
      </c>
      <c r="I147" s="133">
        <f t="shared" si="13"/>
        <v>15.5</v>
      </c>
      <c r="J147" s="237">
        <f t="shared" si="12"/>
        <v>0.0046588518184550645</v>
      </c>
    </row>
    <row r="148" spans="1:10" s="300" customFormat="1" ht="17.25" customHeight="1" hidden="1" outlineLevel="3">
      <c r="A148" s="104" t="s">
        <v>383</v>
      </c>
      <c r="B148" s="129" t="s">
        <v>370</v>
      </c>
      <c r="C148" s="130">
        <f t="shared" si="16"/>
        <v>0.08333333333333333</v>
      </c>
      <c r="D148" s="129">
        <v>12</v>
      </c>
      <c r="E148" s="129">
        <v>0.5</v>
      </c>
      <c r="F148" s="131">
        <f t="shared" si="14"/>
        <v>0.5</v>
      </c>
      <c r="G148" s="132">
        <v>0</v>
      </c>
      <c r="H148" s="133">
        <f t="shared" si="15"/>
        <v>0</v>
      </c>
      <c r="I148" s="133">
        <f t="shared" si="13"/>
        <v>0</v>
      </c>
      <c r="J148" s="237">
        <f t="shared" si="12"/>
        <v>0</v>
      </c>
    </row>
    <row r="149" spans="1:10" s="103" customFormat="1" ht="15.75" customHeight="1" hidden="1" outlineLevel="3">
      <c r="A149" s="104" t="s">
        <v>377</v>
      </c>
      <c r="B149" s="129" t="s">
        <v>370</v>
      </c>
      <c r="C149" s="130">
        <f>2</f>
        <v>2</v>
      </c>
      <c r="D149" s="129">
        <v>12</v>
      </c>
      <c r="E149" s="129">
        <v>0.5</v>
      </c>
      <c r="F149" s="131">
        <f t="shared" si="14"/>
        <v>12</v>
      </c>
      <c r="G149" s="133">
        <v>10</v>
      </c>
      <c r="H149" s="132">
        <f>F149*G149</f>
        <v>120</v>
      </c>
      <c r="I149" s="132">
        <f t="shared" si="13"/>
        <v>10</v>
      </c>
      <c r="J149" s="237">
        <f t="shared" si="12"/>
        <v>0.003005710850616171</v>
      </c>
    </row>
    <row r="150" spans="1:10" s="103" customFormat="1" ht="15.75" customHeight="1" hidden="1" outlineLevel="3">
      <c r="A150" s="104" t="s">
        <v>378</v>
      </c>
      <c r="B150" s="129" t="s">
        <v>370</v>
      </c>
      <c r="C150" s="130">
        <v>0.5</v>
      </c>
      <c r="D150" s="129">
        <v>12</v>
      </c>
      <c r="E150" s="129">
        <v>0.5</v>
      </c>
      <c r="F150" s="131">
        <f t="shared" si="14"/>
        <v>3</v>
      </c>
      <c r="G150" s="133">
        <v>25</v>
      </c>
      <c r="H150" s="132">
        <f>F150*G150</f>
        <v>75</v>
      </c>
      <c r="I150" s="132">
        <f t="shared" si="13"/>
        <v>6.25</v>
      </c>
      <c r="J150" s="237">
        <f t="shared" si="12"/>
        <v>0.0018785692816351068</v>
      </c>
    </row>
    <row r="151" spans="1:10" s="69" customFormat="1" ht="15" customHeight="1" hidden="1" outlineLevel="1" collapsed="1">
      <c r="A151" s="106" t="s">
        <v>648</v>
      </c>
      <c r="B151" s="68" t="s">
        <v>364</v>
      </c>
      <c r="C151" s="68" t="s">
        <v>364</v>
      </c>
      <c r="D151" s="68" t="s">
        <v>364</v>
      </c>
      <c r="E151" s="68" t="s">
        <v>364</v>
      </c>
      <c r="F151" s="68" t="s">
        <v>364</v>
      </c>
      <c r="G151" s="68" t="s">
        <v>364</v>
      </c>
      <c r="H151" s="108">
        <f>SUM(H152:H154)</f>
        <v>0</v>
      </c>
      <c r="I151" s="108">
        <f t="shared" si="13"/>
        <v>0</v>
      </c>
      <c r="J151" s="237">
        <f t="shared" si="12"/>
        <v>0</v>
      </c>
    </row>
    <row r="152" spans="1:10" ht="15" customHeight="1" hidden="1" outlineLevel="2">
      <c r="A152" s="239" t="s">
        <v>384</v>
      </c>
      <c r="B152" s="128"/>
      <c r="C152" s="128"/>
      <c r="D152" s="127"/>
      <c r="E152" s="164"/>
      <c r="F152" s="128">
        <v>0</v>
      </c>
      <c r="G152" s="163">
        <v>766</v>
      </c>
      <c r="H152" s="164">
        <f>F152*G152</f>
        <v>0</v>
      </c>
      <c r="I152" s="164">
        <f>H152/12</f>
        <v>0</v>
      </c>
      <c r="J152" s="237">
        <f t="shared" si="12"/>
        <v>0</v>
      </c>
    </row>
    <row r="153" spans="1:10" ht="15" customHeight="1" hidden="1" outlineLevel="2">
      <c r="A153" s="239" t="s">
        <v>385</v>
      </c>
      <c r="B153" s="128"/>
      <c r="C153" s="128"/>
      <c r="D153" s="127"/>
      <c r="E153" s="164"/>
      <c r="F153" s="128">
        <v>0</v>
      </c>
      <c r="G153" s="163">
        <v>680</v>
      </c>
      <c r="H153" s="164">
        <f>F153*G153</f>
        <v>0</v>
      </c>
      <c r="I153" s="164">
        <f>H153/12</f>
        <v>0</v>
      </c>
      <c r="J153" s="237">
        <f t="shared" si="12"/>
        <v>0</v>
      </c>
    </row>
    <row r="154" spans="1:10" ht="15" customHeight="1" hidden="1" outlineLevel="2">
      <c r="A154" s="239" t="s">
        <v>386</v>
      </c>
      <c r="B154" s="128"/>
      <c r="C154" s="128"/>
      <c r="D154" s="127"/>
      <c r="E154" s="164"/>
      <c r="F154" s="128">
        <v>0</v>
      </c>
      <c r="G154" s="163">
        <v>790</v>
      </c>
      <c r="H154" s="164">
        <f>F154*G154</f>
        <v>0</v>
      </c>
      <c r="I154" s="164">
        <f>H154/12</f>
        <v>0</v>
      </c>
      <c r="J154" s="237">
        <f t="shared" si="12"/>
        <v>0</v>
      </c>
    </row>
    <row r="155" spans="1:10" s="118" customFormat="1" ht="31.5" hidden="1" collapsed="1" thickBot="1">
      <c r="A155" s="92" t="s">
        <v>282</v>
      </c>
      <c r="B155" s="93" t="s">
        <v>359</v>
      </c>
      <c r="C155" s="93" t="s">
        <v>360</v>
      </c>
      <c r="D155" s="93" t="s">
        <v>361</v>
      </c>
      <c r="E155" s="93" t="s">
        <v>329</v>
      </c>
      <c r="F155" s="93" t="s">
        <v>362</v>
      </c>
      <c r="G155" s="94" t="s">
        <v>363</v>
      </c>
      <c r="H155" s="95">
        <f>H156+H247+H248+H249+H250+H270+H278</f>
        <v>0</v>
      </c>
      <c r="I155" s="95">
        <f>H155/12</f>
        <v>0</v>
      </c>
      <c r="J155" s="96">
        <f t="shared" si="12"/>
        <v>0</v>
      </c>
    </row>
    <row r="156" spans="1:10" s="69" customFormat="1" ht="15" customHeight="1" hidden="1" outlineLevel="1">
      <c r="A156" s="198" t="s">
        <v>387</v>
      </c>
      <c r="B156" s="99" t="s">
        <v>364</v>
      </c>
      <c r="C156" s="99" t="s">
        <v>364</v>
      </c>
      <c r="D156" s="99" t="s">
        <v>364</v>
      </c>
      <c r="E156" s="99" t="s">
        <v>364</v>
      </c>
      <c r="F156" s="99">
        <f>SUM(F157:F246)</f>
        <v>0</v>
      </c>
      <c r="G156" s="100">
        <v>6000</v>
      </c>
      <c r="H156" s="100">
        <f>F156*G156</f>
        <v>0</v>
      </c>
      <c r="I156" s="100">
        <f>H156/12</f>
        <v>0</v>
      </c>
      <c r="J156" s="236">
        <f t="shared" si="12"/>
        <v>0</v>
      </c>
    </row>
    <row r="157" spans="1:10" s="138" customFormat="1" ht="15" customHeight="1" hidden="1" outlineLevel="3">
      <c r="A157" s="136" t="s">
        <v>388</v>
      </c>
      <c r="B157" s="137" t="s">
        <v>389</v>
      </c>
      <c r="C157" s="137">
        <v>440</v>
      </c>
      <c r="D157" s="137">
        <v>12</v>
      </c>
      <c r="E157" s="112"/>
      <c r="F157" s="110">
        <f>E157/C157*D157</f>
        <v>0</v>
      </c>
      <c r="G157" s="112"/>
      <c r="H157" s="111"/>
      <c r="I157" s="111"/>
      <c r="J157" s="237">
        <f t="shared" si="12"/>
        <v>0</v>
      </c>
    </row>
    <row r="158" spans="1:10" s="138" customFormat="1" ht="15" customHeight="1" hidden="1" outlineLevel="3">
      <c r="A158" s="136" t="s">
        <v>390</v>
      </c>
      <c r="B158" s="137" t="s">
        <v>389</v>
      </c>
      <c r="C158" s="137">
        <v>420</v>
      </c>
      <c r="D158" s="137">
        <v>12</v>
      </c>
      <c r="E158" s="112"/>
      <c r="F158" s="110">
        <f aca="true" t="shared" si="17" ref="F158:F221">E158/C158*D158</f>
        <v>0</v>
      </c>
      <c r="G158" s="112"/>
      <c r="H158" s="111"/>
      <c r="I158" s="111"/>
      <c r="J158" s="237">
        <f t="shared" si="12"/>
        <v>0</v>
      </c>
    </row>
    <row r="159" spans="1:10" s="138" customFormat="1" ht="15" customHeight="1" hidden="1" outlineLevel="3">
      <c r="A159" s="136" t="s">
        <v>391</v>
      </c>
      <c r="B159" s="137" t="s">
        <v>389</v>
      </c>
      <c r="C159" s="137">
        <v>410</v>
      </c>
      <c r="D159" s="137">
        <v>12</v>
      </c>
      <c r="E159" s="112"/>
      <c r="F159" s="110">
        <f t="shared" si="17"/>
        <v>0</v>
      </c>
      <c r="G159" s="112"/>
      <c r="H159" s="111"/>
      <c r="I159" s="111"/>
      <c r="J159" s="237">
        <f t="shared" si="12"/>
        <v>0</v>
      </c>
    </row>
    <row r="160" spans="1:10" s="138" customFormat="1" ht="15" customHeight="1" hidden="1" outlineLevel="3">
      <c r="A160" s="136" t="s">
        <v>392</v>
      </c>
      <c r="B160" s="137" t="s">
        <v>389</v>
      </c>
      <c r="C160" s="137">
        <v>460</v>
      </c>
      <c r="D160" s="137">
        <v>12</v>
      </c>
      <c r="E160" s="112"/>
      <c r="F160" s="110">
        <f t="shared" si="17"/>
        <v>0</v>
      </c>
      <c r="G160" s="112"/>
      <c r="H160" s="111"/>
      <c r="I160" s="111"/>
      <c r="J160" s="237">
        <f t="shared" si="12"/>
        <v>0</v>
      </c>
    </row>
    <row r="161" spans="1:10" s="138" customFormat="1" ht="15" customHeight="1" hidden="1" outlineLevel="3">
      <c r="A161" s="136" t="s">
        <v>393</v>
      </c>
      <c r="B161" s="137" t="s">
        <v>389</v>
      </c>
      <c r="C161" s="137">
        <v>450</v>
      </c>
      <c r="D161" s="137">
        <v>12</v>
      </c>
      <c r="E161" s="112"/>
      <c r="F161" s="110">
        <f t="shared" si="17"/>
        <v>0</v>
      </c>
      <c r="G161" s="112"/>
      <c r="H161" s="111"/>
      <c r="I161" s="111"/>
      <c r="J161" s="237">
        <f t="shared" si="12"/>
        <v>0</v>
      </c>
    </row>
    <row r="162" spans="1:10" s="138" customFormat="1" ht="15" customHeight="1" hidden="1" outlineLevel="3">
      <c r="A162" s="136" t="s">
        <v>394</v>
      </c>
      <c r="B162" s="137" t="s">
        <v>389</v>
      </c>
      <c r="C162" s="137">
        <v>440</v>
      </c>
      <c r="D162" s="137">
        <v>12</v>
      </c>
      <c r="E162" s="112"/>
      <c r="F162" s="110">
        <f t="shared" si="17"/>
        <v>0</v>
      </c>
      <c r="G162" s="112"/>
      <c r="H162" s="111"/>
      <c r="I162" s="111"/>
      <c r="J162" s="237">
        <f t="shared" si="12"/>
        <v>0</v>
      </c>
    </row>
    <row r="163" spans="1:10" s="138" customFormat="1" ht="15" customHeight="1" hidden="1" outlineLevel="3">
      <c r="A163" s="136" t="s">
        <v>395</v>
      </c>
      <c r="B163" s="137" t="s">
        <v>389</v>
      </c>
      <c r="C163" s="137">
        <v>370</v>
      </c>
      <c r="D163" s="137">
        <v>12</v>
      </c>
      <c r="E163" s="112"/>
      <c r="F163" s="110">
        <f t="shared" si="17"/>
        <v>0</v>
      </c>
      <c r="G163" s="112"/>
      <c r="H163" s="111"/>
      <c r="I163" s="111"/>
      <c r="J163" s="237">
        <f t="shared" si="12"/>
        <v>0</v>
      </c>
    </row>
    <row r="164" spans="1:10" s="138" customFormat="1" ht="15" customHeight="1" hidden="1" outlineLevel="3">
      <c r="A164" s="136" t="s">
        <v>396</v>
      </c>
      <c r="B164" s="137" t="s">
        <v>389</v>
      </c>
      <c r="C164" s="137">
        <v>360</v>
      </c>
      <c r="D164" s="137">
        <v>12</v>
      </c>
      <c r="E164" s="112"/>
      <c r="F164" s="110">
        <f t="shared" si="17"/>
        <v>0</v>
      </c>
      <c r="G164" s="112"/>
      <c r="H164" s="111"/>
      <c r="I164" s="111"/>
      <c r="J164" s="237">
        <f t="shared" si="12"/>
        <v>0</v>
      </c>
    </row>
    <row r="165" spans="1:10" s="138" customFormat="1" ht="15" customHeight="1" hidden="1" outlineLevel="3">
      <c r="A165" s="136" t="s">
        <v>397</v>
      </c>
      <c r="B165" s="137" t="s">
        <v>389</v>
      </c>
      <c r="C165" s="137">
        <v>350</v>
      </c>
      <c r="D165" s="137">
        <v>12</v>
      </c>
      <c r="E165" s="112"/>
      <c r="F165" s="110">
        <f t="shared" si="17"/>
        <v>0</v>
      </c>
      <c r="G165" s="112"/>
      <c r="H165" s="111"/>
      <c r="I165" s="111"/>
      <c r="J165" s="237">
        <f t="shared" si="12"/>
        <v>0</v>
      </c>
    </row>
    <row r="166" spans="1:10" s="138" customFormat="1" ht="15" customHeight="1" hidden="1" outlineLevel="3">
      <c r="A166" s="136" t="s">
        <v>398</v>
      </c>
      <c r="B166" s="137" t="s">
        <v>389</v>
      </c>
      <c r="C166" s="137">
        <v>490</v>
      </c>
      <c r="D166" s="137">
        <v>12</v>
      </c>
      <c r="E166" s="112"/>
      <c r="F166" s="110">
        <f t="shared" si="17"/>
        <v>0</v>
      </c>
      <c r="G166" s="112"/>
      <c r="H166" s="111"/>
      <c r="I166" s="111"/>
      <c r="J166" s="237">
        <f t="shared" si="12"/>
        <v>0</v>
      </c>
    </row>
    <row r="167" spans="1:10" s="138" customFormat="1" ht="15" customHeight="1" hidden="1" outlineLevel="3">
      <c r="A167" s="136" t="s">
        <v>399</v>
      </c>
      <c r="B167" s="137" t="s">
        <v>389</v>
      </c>
      <c r="C167" s="137">
        <v>470</v>
      </c>
      <c r="D167" s="137">
        <v>12</v>
      </c>
      <c r="E167" s="112"/>
      <c r="F167" s="110">
        <f t="shared" si="17"/>
        <v>0</v>
      </c>
      <c r="G167" s="112"/>
      <c r="H167" s="111"/>
      <c r="I167" s="111"/>
      <c r="J167" s="237">
        <f t="shared" si="12"/>
        <v>0</v>
      </c>
    </row>
    <row r="168" spans="1:10" s="138" customFormat="1" ht="15" customHeight="1" hidden="1" outlineLevel="3">
      <c r="A168" s="136" t="s">
        <v>400</v>
      </c>
      <c r="B168" s="137" t="s">
        <v>389</v>
      </c>
      <c r="C168" s="137">
        <v>450</v>
      </c>
      <c r="D168" s="137">
        <v>12</v>
      </c>
      <c r="E168" s="112"/>
      <c r="F168" s="110">
        <f t="shared" si="17"/>
        <v>0</v>
      </c>
      <c r="G168" s="112"/>
      <c r="H168" s="111"/>
      <c r="I168" s="111"/>
      <c r="J168" s="237">
        <f t="shared" si="12"/>
        <v>0</v>
      </c>
    </row>
    <row r="169" spans="1:10" s="138" customFormat="1" ht="15" customHeight="1" hidden="1" outlineLevel="3">
      <c r="A169" s="136" t="s">
        <v>401</v>
      </c>
      <c r="B169" s="137" t="s">
        <v>389</v>
      </c>
      <c r="C169" s="137">
        <v>540</v>
      </c>
      <c r="D169" s="137">
        <v>12</v>
      </c>
      <c r="E169" s="112"/>
      <c r="F169" s="110">
        <f t="shared" si="17"/>
        <v>0</v>
      </c>
      <c r="G169" s="112"/>
      <c r="H169" s="111"/>
      <c r="I169" s="111"/>
      <c r="J169" s="237">
        <f t="shared" si="12"/>
        <v>0</v>
      </c>
    </row>
    <row r="170" spans="1:10" s="138" customFormat="1" ht="15" customHeight="1" hidden="1" outlineLevel="3">
      <c r="A170" s="136" t="s">
        <v>402</v>
      </c>
      <c r="B170" s="137" t="s">
        <v>389</v>
      </c>
      <c r="C170" s="137">
        <v>530</v>
      </c>
      <c r="D170" s="137">
        <v>12</v>
      </c>
      <c r="E170" s="112"/>
      <c r="F170" s="110">
        <f t="shared" si="17"/>
        <v>0</v>
      </c>
      <c r="G170" s="112"/>
      <c r="H170" s="111"/>
      <c r="I170" s="111"/>
      <c r="J170" s="237">
        <f t="shared" si="12"/>
        <v>0</v>
      </c>
    </row>
    <row r="171" spans="1:10" s="138" customFormat="1" ht="15" customHeight="1" hidden="1" outlineLevel="3">
      <c r="A171" s="136" t="s">
        <v>403</v>
      </c>
      <c r="B171" s="137" t="s">
        <v>389</v>
      </c>
      <c r="C171" s="137">
        <v>510</v>
      </c>
      <c r="D171" s="137">
        <v>12</v>
      </c>
      <c r="E171" s="112"/>
      <c r="F171" s="110">
        <f t="shared" si="17"/>
        <v>0</v>
      </c>
      <c r="G171" s="112"/>
      <c r="H171" s="111"/>
      <c r="I171" s="111"/>
      <c r="J171" s="237">
        <f t="shared" si="12"/>
        <v>0</v>
      </c>
    </row>
    <row r="172" spans="1:10" s="138" customFormat="1" ht="15" customHeight="1" hidden="1" outlineLevel="3">
      <c r="A172" s="136" t="s">
        <v>404</v>
      </c>
      <c r="B172" s="137" t="s">
        <v>389</v>
      </c>
      <c r="C172" s="137">
        <v>480</v>
      </c>
      <c r="D172" s="137">
        <v>12</v>
      </c>
      <c r="E172" s="112"/>
      <c r="F172" s="110">
        <f t="shared" si="17"/>
        <v>0</v>
      </c>
      <c r="G172" s="112"/>
      <c r="H172" s="111"/>
      <c r="I172" s="111"/>
      <c r="J172" s="237">
        <f t="shared" si="12"/>
        <v>0</v>
      </c>
    </row>
    <row r="173" spans="1:10" s="138" customFormat="1" ht="15" customHeight="1" hidden="1" outlineLevel="3">
      <c r="A173" s="136" t="s">
        <v>405</v>
      </c>
      <c r="B173" s="137" t="s">
        <v>389</v>
      </c>
      <c r="C173" s="137">
        <v>470</v>
      </c>
      <c r="D173" s="137">
        <v>12</v>
      </c>
      <c r="E173" s="112"/>
      <c r="F173" s="110">
        <f t="shared" si="17"/>
        <v>0</v>
      </c>
      <c r="G173" s="112"/>
      <c r="H173" s="111"/>
      <c r="I173" s="111"/>
      <c r="J173" s="237">
        <f aca="true" t="shared" si="18" ref="J173:J236">I173/$E$9</f>
        <v>0</v>
      </c>
    </row>
    <row r="174" spans="1:10" s="138" customFormat="1" ht="15" customHeight="1" hidden="1" outlineLevel="3">
      <c r="A174" s="136" t="s">
        <v>406</v>
      </c>
      <c r="B174" s="137" t="s">
        <v>389</v>
      </c>
      <c r="C174" s="137">
        <v>440</v>
      </c>
      <c r="D174" s="137">
        <v>12</v>
      </c>
      <c r="E174" s="112"/>
      <c r="F174" s="110">
        <f t="shared" si="17"/>
        <v>0</v>
      </c>
      <c r="G174" s="112"/>
      <c r="H174" s="111"/>
      <c r="I174" s="111"/>
      <c r="J174" s="237">
        <f t="shared" si="18"/>
        <v>0</v>
      </c>
    </row>
    <row r="175" spans="1:10" s="138" customFormat="1" ht="15" customHeight="1" hidden="1" outlineLevel="3">
      <c r="A175" s="136" t="s">
        <v>407</v>
      </c>
      <c r="B175" s="137" t="s">
        <v>389</v>
      </c>
      <c r="C175" s="137">
        <v>510</v>
      </c>
      <c r="D175" s="137">
        <v>12</v>
      </c>
      <c r="E175" s="112"/>
      <c r="F175" s="110">
        <f t="shared" si="17"/>
        <v>0</v>
      </c>
      <c r="G175" s="112"/>
      <c r="H175" s="111"/>
      <c r="I175" s="111"/>
      <c r="J175" s="237">
        <f t="shared" si="18"/>
        <v>0</v>
      </c>
    </row>
    <row r="176" spans="1:10" s="138" customFormat="1" ht="15" customHeight="1" hidden="1" outlineLevel="3">
      <c r="A176" s="136" t="s">
        <v>408</v>
      </c>
      <c r="B176" s="137" t="s">
        <v>389</v>
      </c>
      <c r="C176" s="137">
        <v>490</v>
      </c>
      <c r="D176" s="137">
        <v>12</v>
      </c>
      <c r="E176" s="112"/>
      <c r="F176" s="110">
        <f t="shared" si="17"/>
        <v>0</v>
      </c>
      <c r="G176" s="112"/>
      <c r="H176" s="111"/>
      <c r="I176" s="111"/>
      <c r="J176" s="237">
        <f t="shared" si="18"/>
        <v>0</v>
      </c>
    </row>
    <row r="177" spans="1:10" s="138" customFormat="1" ht="15" customHeight="1" hidden="1" outlineLevel="3">
      <c r="A177" s="136" t="s">
        <v>409</v>
      </c>
      <c r="B177" s="137" t="s">
        <v>389</v>
      </c>
      <c r="C177" s="137">
        <v>470</v>
      </c>
      <c r="D177" s="137">
        <v>12</v>
      </c>
      <c r="E177" s="112"/>
      <c r="F177" s="110">
        <f t="shared" si="17"/>
        <v>0</v>
      </c>
      <c r="G177" s="112"/>
      <c r="H177" s="111"/>
      <c r="I177" s="111"/>
      <c r="J177" s="237">
        <f t="shared" si="18"/>
        <v>0</v>
      </c>
    </row>
    <row r="178" spans="1:10" s="138" customFormat="1" ht="15" customHeight="1" hidden="1" outlineLevel="3">
      <c r="A178" s="136" t="s">
        <v>410</v>
      </c>
      <c r="B178" s="137" t="s">
        <v>389</v>
      </c>
      <c r="C178" s="137">
        <v>540</v>
      </c>
      <c r="D178" s="137">
        <v>12</v>
      </c>
      <c r="E178" s="112"/>
      <c r="F178" s="110">
        <f t="shared" si="17"/>
        <v>0</v>
      </c>
      <c r="G178" s="112"/>
      <c r="H178" s="111"/>
      <c r="I178" s="111"/>
      <c r="J178" s="237">
        <f t="shared" si="18"/>
        <v>0</v>
      </c>
    </row>
    <row r="179" spans="1:10" s="138" customFormat="1" ht="15" customHeight="1" hidden="1" outlineLevel="3">
      <c r="A179" s="136" t="s">
        <v>411</v>
      </c>
      <c r="B179" s="137" t="s">
        <v>389</v>
      </c>
      <c r="C179" s="137">
        <v>530</v>
      </c>
      <c r="D179" s="137">
        <v>12</v>
      </c>
      <c r="E179" s="112"/>
      <c r="F179" s="110">
        <f t="shared" si="17"/>
        <v>0</v>
      </c>
      <c r="G179" s="112"/>
      <c r="H179" s="111"/>
      <c r="I179" s="111"/>
      <c r="J179" s="237">
        <f t="shared" si="18"/>
        <v>0</v>
      </c>
    </row>
    <row r="180" spans="1:10" s="138" customFormat="1" ht="15" customHeight="1" hidden="1" outlineLevel="3">
      <c r="A180" s="136" t="s">
        <v>412</v>
      </c>
      <c r="B180" s="137" t="s">
        <v>389</v>
      </c>
      <c r="C180" s="137">
        <v>510</v>
      </c>
      <c r="D180" s="137">
        <v>12</v>
      </c>
      <c r="E180" s="112"/>
      <c r="F180" s="110">
        <f t="shared" si="17"/>
        <v>0</v>
      </c>
      <c r="G180" s="112"/>
      <c r="H180" s="111"/>
      <c r="I180" s="111"/>
      <c r="J180" s="237">
        <f t="shared" si="18"/>
        <v>0</v>
      </c>
    </row>
    <row r="181" spans="1:10" s="138" customFormat="1" ht="15" customHeight="1" hidden="1" outlineLevel="3">
      <c r="A181" s="136" t="s">
        <v>413</v>
      </c>
      <c r="B181" s="137" t="s">
        <v>389</v>
      </c>
      <c r="C181" s="137">
        <v>470</v>
      </c>
      <c r="D181" s="137">
        <v>12</v>
      </c>
      <c r="E181" s="112"/>
      <c r="F181" s="110">
        <f t="shared" si="17"/>
        <v>0</v>
      </c>
      <c r="G181" s="112"/>
      <c r="H181" s="111"/>
      <c r="I181" s="111"/>
      <c r="J181" s="237">
        <f t="shared" si="18"/>
        <v>0</v>
      </c>
    </row>
    <row r="182" spans="1:10" s="138" customFormat="1" ht="15" customHeight="1" hidden="1" outlineLevel="3">
      <c r="A182" s="136" t="s">
        <v>414</v>
      </c>
      <c r="B182" s="137" t="s">
        <v>389</v>
      </c>
      <c r="C182" s="137">
        <v>460</v>
      </c>
      <c r="D182" s="137">
        <v>12</v>
      </c>
      <c r="E182" s="112"/>
      <c r="F182" s="110">
        <f t="shared" si="17"/>
        <v>0</v>
      </c>
      <c r="G182" s="112"/>
      <c r="H182" s="111"/>
      <c r="I182" s="111"/>
      <c r="J182" s="237">
        <f t="shared" si="18"/>
        <v>0</v>
      </c>
    </row>
    <row r="183" spans="1:10" s="138" customFormat="1" ht="15" customHeight="1" hidden="1" outlineLevel="3">
      <c r="A183" s="136" t="s">
        <v>415</v>
      </c>
      <c r="B183" s="137" t="s">
        <v>389</v>
      </c>
      <c r="C183" s="137">
        <v>450</v>
      </c>
      <c r="D183" s="137">
        <v>12</v>
      </c>
      <c r="E183" s="112"/>
      <c r="F183" s="110">
        <f t="shared" si="17"/>
        <v>0</v>
      </c>
      <c r="G183" s="112"/>
      <c r="H183" s="111"/>
      <c r="I183" s="111"/>
      <c r="J183" s="237">
        <f t="shared" si="18"/>
        <v>0</v>
      </c>
    </row>
    <row r="184" spans="1:10" s="138" customFormat="1" ht="15" customHeight="1" hidden="1" outlineLevel="3">
      <c r="A184" s="136" t="s">
        <v>416</v>
      </c>
      <c r="B184" s="137" t="s">
        <v>389</v>
      </c>
      <c r="C184" s="137">
        <v>560</v>
      </c>
      <c r="D184" s="137">
        <v>12</v>
      </c>
      <c r="E184" s="112"/>
      <c r="F184" s="110">
        <f t="shared" si="17"/>
        <v>0</v>
      </c>
      <c r="G184" s="112"/>
      <c r="H184" s="111"/>
      <c r="I184" s="111"/>
      <c r="J184" s="237">
        <f t="shared" si="18"/>
        <v>0</v>
      </c>
    </row>
    <row r="185" spans="1:10" s="138" customFormat="1" ht="15" customHeight="1" hidden="1" outlineLevel="3">
      <c r="A185" s="136" t="s">
        <v>417</v>
      </c>
      <c r="B185" s="137" t="s">
        <v>389</v>
      </c>
      <c r="C185" s="137">
        <v>540</v>
      </c>
      <c r="D185" s="137">
        <v>12</v>
      </c>
      <c r="E185" s="112"/>
      <c r="F185" s="110">
        <f t="shared" si="17"/>
        <v>0</v>
      </c>
      <c r="G185" s="112"/>
      <c r="H185" s="111"/>
      <c r="I185" s="111"/>
      <c r="J185" s="237">
        <f t="shared" si="18"/>
        <v>0</v>
      </c>
    </row>
    <row r="186" spans="1:10" s="138" customFormat="1" ht="15" customHeight="1" hidden="1" outlineLevel="3">
      <c r="A186" s="136" t="s">
        <v>418</v>
      </c>
      <c r="B186" s="137" t="s">
        <v>389</v>
      </c>
      <c r="C186" s="137">
        <v>520</v>
      </c>
      <c r="D186" s="137">
        <v>12</v>
      </c>
      <c r="E186" s="112"/>
      <c r="F186" s="110">
        <f t="shared" si="17"/>
        <v>0</v>
      </c>
      <c r="G186" s="112"/>
      <c r="H186" s="111"/>
      <c r="I186" s="111"/>
      <c r="J186" s="237">
        <f t="shared" si="18"/>
        <v>0</v>
      </c>
    </row>
    <row r="187" spans="1:10" s="138" customFormat="1" ht="15" customHeight="1" hidden="1" outlineLevel="3">
      <c r="A187" s="136" t="s">
        <v>419</v>
      </c>
      <c r="B187" s="137" t="s">
        <v>389</v>
      </c>
      <c r="C187" s="137">
        <v>580</v>
      </c>
      <c r="D187" s="137">
        <v>12</v>
      </c>
      <c r="E187" s="112"/>
      <c r="F187" s="110">
        <f t="shared" si="17"/>
        <v>0</v>
      </c>
      <c r="G187" s="112"/>
      <c r="H187" s="111"/>
      <c r="I187" s="111"/>
      <c r="J187" s="237">
        <f t="shared" si="18"/>
        <v>0</v>
      </c>
    </row>
    <row r="188" spans="1:10" s="138" customFormat="1" ht="15" customHeight="1" hidden="1" outlineLevel="3">
      <c r="A188" s="136" t="s">
        <v>420</v>
      </c>
      <c r="B188" s="137" t="s">
        <v>389</v>
      </c>
      <c r="C188" s="137">
        <v>580</v>
      </c>
      <c r="D188" s="137">
        <v>12</v>
      </c>
      <c r="E188" s="112"/>
      <c r="F188" s="110">
        <f t="shared" si="17"/>
        <v>0</v>
      </c>
      <c r="G188" s="112"/>
      <c r="H188" s="111"/>
      <c r="I188" s="111"/>
      <c r="J188" s="237">
        <f t="shared" si="18"/>
        <v>0</v>
      </c>
    </row>
    <row r="189" spans="1:10" s="138" customFormat="1" ht="15" customHeight="1" hidden="1" outlineLevel="3">
      <c r="A189" s="136" t="s">
        <v>421</v>
      </c>
      <c r="B189" s="137" t="s">
        <v>389</v>
      </c>
      <c r="C189" s="137">
        <v>560</v>
      </c>
      <c r="D189" s="137">
        <v>12</v>
      </c>
      <c r="E189" s="112"/>
      <c r="F189" s="110">
        <f t="shared" si="17"/>
        <v>0</v>
      </c>
      <c r="G189" s="112"/>
      <c r="H189" s="111"/>
      <c r="I189" s="111"/>
      <c r="J189" s="237">
        <f t="shared" si="18"/>
        <v>0</v>
      </c>
    </row>
    <row r="190" spans="1:10" s="138" customFormat="1" ht="15" customHeight="1" hidden="1" outlineLevel="3">
      <c r="A190" s="136" t="s">
        <v>422</v>
      </c>
      <c r="B190" s="137" t="s">
        <v>389</v>
      </c>
      <c r="C190" s="137">
        <v>510</v>
      </c>
      <c r="D190" s="137">
        <v>12</v>
      </c>
      <c r="E190" s="112"/>
      <c r="F190" s="110">
        <f t="shared" si="17"/>
        <v>0</v>
      </c>
      <c r="G190" s="112"/>
      <c r="H190" s="111"/>
      <c r="I190" s="111"/>
      <c r="J190" s="237">
        <f t="shared" si="18"/>
        <v>0</v>
      </c>
    </row>
    <row r="191" spans="1:10" s="138" customFormat="1" ht="15" customHeight="1" hidden="1" outlineLevel="3">
      <c r="A191" s="136" t="s">
        <v>423</v>
      </c>
      <c r="B191" s="137" t="s">
        <v>389</v>
      </c>
      <c r="C191" s="137">
        <v>510</v>
      </c>
      <c r="D191" s="137">
        <v>12</v>
      </c>
      <c r="E191" s="112"/>
      <c r="F191" s="110">
        <f t="shared" si="17"/>
        <v>0</v>
      </c>
      <c r="G191" s="112"/>
      <c r="H191" s="111"/>
      <c r="I191" s="111"/>
      <c r="J191" s="237">
        <f t="shared" si="18"/>
        <v>0</v>
      </c>
    </row>
    <row r="192" spans="1:10" s="138" customFormat="1" ht="15" customHeight="1" hidden="1" outlineLevel="3">
      <c r="A192" s="136" t="s">
        <v>424</v>
      </c>
      <c r="B192" s="137" t="s">
        <v>389</v>
      </c>
      <c r="C192" s="137">
        <v>490</v>
      </c>
      <c r="D192" s="137">
        <v>12</v>
      </c>
      <c r="E192" s="112"/>
      <c r="F192" s="110">
        <f t="shared" si="17"/>
        <v>0</v>
      </c>
      <c r="G192" s="112"/>
      <c r="H192" s="111"/>
      <c r="I192" s="111"/>
      <c r="J192" s="237">
        <f t="shared" si="18"/>
        <v>0</v>
      </c>
    </row>
    <row r="193" spans="1:10" s="138" customFormat="1" ht="15" customHeight="1" hidden="1" outlineLevel="3">
      <c r="A193" s="136" t="s">
        <v>425</v>
      </c>
      <c r="B193" s="137" t="s">
        <v>389</v>
      </c>
      <c r="C193" s="137">
        <v>610</v>
      </c>
      <c r="D193" s="137">
        <v>12</v>
      </c>
      <c r="E193" s="112"/>
      <c r="F193" s="110">
        <f t="shared" si="17"/>
        <v>0</v>
      </c>
      <c r="G193" s="112"/>
      <c r="H193" s="111"/>
      <c r="I193" s="111"/>
      <c r="J193" s="237">
        <f t="shared" si="18"/>
        <v>0</v>
      </c>
    </row>
    <row r="194" spans="1:10" s="138" customFormat="1" ht="15" customHeight="1" hidden="1" outlineLevel="3">
      <c r="A194" s="136" t="s">
        <v>426</v>
      </c>
      <c r="B194" s="137" t="s">
        <v>389</v>
      </c>
      <c r="C194" s="137">
        <v>490</v>
      </c>
      <c r="D194" s="137">
        <v>12</v>
      </c>
      <c r="E194" s="112"/>
      <c r="F194" s="110">
        <f t="shared" si="17"/>
        <v>0</v>
      </c>
      <c r="G194" s="112"/>
      <c r="H194" s="111"/>
      <c r="I194" s="111"/>
      <c r="J194" s="237">
        <f t="shared" si="18"/>
        <v>0</v>
      </c>
    </row>
    <row r="195" spans="1:10" s="138" customFormat="1" ht="15" customHeight="1" hidden="1" outlineLevel="3">
      <c r="A195" s="136" t="s">
        <v>427</v>
      </c>
      <c r="B195" s="137" t="s">
        <v>389</v>
      </c>
      <c r="C195" s="137">
        <v>470</v>
      </c>
      <c r="D195" s="137">
        <v>12</v>
      </c>
      <c r="E195" s="112"/>
      <c r="F195" s="110">
        <f t="shared" si="17"/>
        <v>0</v>
      </c>
      <c r="G195" s="112"/>
      <c r="H195" s="111"/>
      <c r="I195" s="111"/>
      <c r="J195" s="237">
        <f t="shared" si="18"/>
        <v>0</v>
      </c>
    </row>
    <row r="196" spans="1:10" s="138" customFormat="1" ht="15" customHeight="1" hidden="1" outlineLevel="3">
      <c r="A196" s="136" t="s">
        <v>428</v>
      </c>
      <c r="B196" s="137" t="s">
        <v>389</v>
      </c>
      <c r="C196" s="137">
        <v>640</v>
      </c>
      <c r="D196" s="137">
        <v>12</v>
      </c>
      <c r="E196" s="112"/>
      <c r="F196" s="110">
        <f t="shared" si="17"/>
        <v>0</v>
      </c>
      <c r="G196" s="112"/>
      <c r="H196" s="111"/>
      <c r="I196" s="111"/>
      <c r="J196" s="237">
        <f t="shared" si="18"/>
        <v>0</v>
      </c>
    </row>
    <row r="197" spans="1:10" s="138" customFormat="1" ht="15" customHeight="1" hidden="1" outlineLevel="3">
      <c r="A197" s="136" t="s">
        <v>429</v>
      </c>
      <c r="B197" s="137" t="s">
        <v>389</v>
      </c>
      <c r="C197" s="137">
        <v>630</v>
      </c>
      <c r="D197" s="137">
        <v>12</v>
      </c>
      <c r="E197" s="112"/>
      <c r="F197" s="110">
        <f t="shared" si="17"/>
        <v>0</v>
      </c>
      <c r="G197" s="112"/>
      <c r="H197" s="111"/>
      <c r="I197" s="111"/>
      <c r="J197" s="237">
        <f t="shared" si="18"/>
        <v>0</v>
      </c>
    </row>
    <row r="198" spans="1:10" s="138" customFormat="1" ht="15" customHeight="1" hidden="1" outlineLevel="3">
      <c r="A198" s="136" t="s">
        <v>430</v>
      </c>
      <c r="B198" s="137" t="s">
        <v>389</v>
      </c>
      <c r="C198" s="137">
        <v>610</v>
      </c>
      <c r="D198" s="137">
        <v>12</v>
      </c>
      <c r="E198" s="112"/>
      <c r="F198" s="110">
        <f t="shared" si="17"/>
        <v>0</v>
      </c>
      <c r="G198" s="112"/>
      <c r="H198" s="111"/>
      <c r="I198" s="111"/>
      <c r="J198" s="237">
        <f t="shared" si="18"/>
        <v>0</v>
      </c>
    </row>
    <row r="199" spans="1:10" s="138" customFormat="1" ht="15" customHeight="1" hidden="1" outlineLevel="3">
      <c r="A199" s="136" t="s">
        <v>431</v>
      </c>
      <c r="B199" s="137" t="s">
        <v>389</v>
      </c>
      <c r="C199" s="137">
        <v>570</v>
      </c>
      <c r="D199" s="137">
        <v>12</v>
      </c>
      <c r="E199" s="112"/>
      <c r="F199" s="110">
        <f t="shared" si="17"/>
        <v>0</v>
      </c>
      <c r="G199" s="112"/>
      <c r="H199" s="111"/>
      <c r="I199" s="111"/>
      <c r="J199" s="237">
        <f t="shared" si="18"/>
        <v>0</v>
      </c>
    </row>
    <row r="200" spans="1:10" s="138" customFormat="1" ht="15" customHeight="1" hidden="1" outlineLevel="3">
      <c r="A200" s="136" t="s">
        <v>432</v>
      </c>
      <c r="B200" s="137" t="s">
        <v>389</v>
      </c>
      <c r="C200" s="137">
        <v>560</v>
      </c>
      <c r="D200" s="137">
        <v>12</v>
      </c>
      <c r="E200" s="112"/>
      <c r="F200" s="110">
        <f t="shared" si="17"/>
        <v>0</v>
      </c>
      <c r="G200" s="112"/>
      <c r="H200" s="111"/>
      <c r="I200" s="111"/>
      <c r="J200" s="237">
        <f t="shared" si="18"/>
        <v>0</v>
      </c>
    </row>
    <row r="201" spans="1:10" s="138" customFormat="1" ht="15" customHeight="1" hidden="1" outlineLevel="3">
      <c r="A201" s="136" t="s">
        <v>433</v>
      </c>
      <c r="B201" s="137" t="s">
        <v>389</v>
      </c>
      <c r="C201" s="137">
        <v>540</v>
      </c>
      <c r="D201" s="137">
        <v>12</v>
      </c>
      <c r="E201" s="112"/>
      <c r="F201" s="110">
        <f t="shared" si="17"/>
        <v>0</v>
      </c>
      <c r="G201" s="112"/>
      <c r="H201" s="111"/>
      <c r="I201" s="111"/>
      <c r="J201" s="237">
        <f t="shared" si="18"/>
        <v>0</v>
      </c>
    </row>
    <row r="202" spans="1:10" s="138" customFormat="1" ht="15" customHeight="1" hidden="1" outlineLevel="3">
      <c r="A202" s="136" t="s">
        <v>434</v>
      </c>
      <c r="B202" s="137" t="s">
        <v>389</v>
      </c>
      <c r="C202" s="137">
        <v>460</v>
      </c>
      <c r="D202" s="137">
        <v>12</v>
      </c>
      <c r="E202" s="112"/>
      <c r="F202" s="110">
        <f t="shared" si="17"/>
        <v>0</v>
      </c>
      <c r="G202" s="112"/>
      <c r="H202" s="111"/>
      <c r="I202" s="111"/>
      <c r="J202" s="237">
        <f t="shared" si="18"/>
        <v>0</v>
      </c>
    </row>
    <row r="203" spans="1:10" s="138" customFormat="1" ht="15" customHeight="1" hidden="1" outlineLevel="3">
      <c r="A203" s="136" t="s">
        <v>435</v>
      </c>
      <c r="B203" s="137" t="s">
        <v>389</v>
      </c>
      <c r="C203" s="137">
        <v>440</v>
      </c>
      <c r="D203" s="137">
        <v>12</v>
      </c>
      <c r="E203" s="112"/>
      <c r="F203" s="110">
        <f t="shared" si="17"/>
        <v>0</v>
      </c>
      <c r="G203" s="112"/>
      <c r="H203" s="111"/>
      <c r="I203" s="111"/>
      <c r="J203" s="237">
        <f t="shared" si="18"/>
        <v>0</v>
      </c>
    </row>
    <row r="204" spans="1:10" s="138" customFormat="1" ht="15" customHeight="1" hidden="1" outlineLevel="3">
      <c r="A204" s="136" t="s">
        <v>436</v>
      </c>
      <c r="B204" s="137" t="s">
        <v>389</v>
      </c>
      <c r="C204" s="137">
        <v>430</v>
      </c>
      <c r="D204" s="137">
        <v>12</v>
      </c>
      <c r="E204" s="112"/>
      <c r="F204" s="110">
        <f t="shared" si="17"/>
        <v>0</v>
      </c>
      <c r="G204" s="112"/>
      <c r="H204" s="111"/>
      <c r="I204" s="111"/>
      <c r="J204" s="237">
        <f t="shared" si="18"/>
        <v>0</v>
      </c>
    </row>
    <row r="205" spans="1:10" s="138" customFormat="1" ht="15" customHeight="1" hidden="1" outlineLevel="3">
      <c r="A205" s="136" t="s">
        <v>437</v>
      </c>
      <c r="B205" s="137" t="s">
        <v>389</v>
      </c>
      <c r="C205" s="112">
        <v>480</v>
      </c>
      <c r="D205" s="137">
        <v>12</v>
      </c>
      <c r="E205" s="112"/>
      <c r="F205" s="110">
        <f t="shared" si="17"/>
        <v>0</v>
      </c>
      <c r="G205" s="112"/>
      <c r="H205" s="111"/>
      <c r="I205" s="111"/>
      <c r="J205" s="237">
        <f t="shared" si="18"/>
        <v>0</v>
      </c>
    </row>
    <row r="206" spans="1:10" s="138" customFormat="1" ht="15" customHeight="1" hidden="1" outlineLevel="3">
      <c r="A206" s="136" t="s">
        <v>438</v>
      </c>
      <c r="B206" s="137" t="s">
        <v>389</v>
      </c>
      <c r="C206" s="112">
        <v>470</v>
      </c>
      <c r="D206" s="137">
        <v>12</v>
      </c>
      <c r="E206" s="112"/>
      <c r="F206" s="110">
        <f t="shared" si="17"/>
        <v>0</v>
      </c>
      <c r="G206" s="112"/>
      <c r="H206" s="111"/>
      <c r="I206" s="111"/>
      <c r="J206" s="237">
        <f t="shared" si="18"/>
        <v>0</v>
      </c>
    </row>
    <row r="207" spans="1:10" s="138" customFormat="1" ht="15" customHeight="1" hidden="1" outlineLevel="3">
      <c r="A207" s="136" t="s">
        <v>439</v>
      </c>
      <c r="B207" s="137" t="s">
        <v>389</v>
      </c>
      <c r="C207" s="112">
        <v>460</v>
      </c>
      <c r="D207" s="137">
        <v>12</v>
      </c>
      <c r="E207" s="112"/>
      <c r="F207" s="110">
        <f t="shared" si="17"/>
        <v>0</v>
      </c>
      <c r="G207" s="112"/>
      <c r="H207" s="111"/>
      <c r="I207" s="111"/>
      <c r="J207" s="237">
        <f t="shared" si="18"/>
        <v>0</v>
      </c>
    </row>
    <row r="208" spans="1:10" s="138" customFormat="1" ht="15" customHeight="1" hidden="1" outlineLevel="3">
      <c r="A208" s="136" t="s">
        <v>440</v>
      </c>
      <c r="B208" s="137" t="s">
        <v>389</v>
      </c>
      <c r="C208" s="112">
        <v>380</v>
      </c>
      <c r="D208" s="137">
        <v>12</v>
      </c>
      <c r="E208" s="112"/>
      <c r="F208" s="110">
        <f t="shared" si="17"/>
        <v>0</v>
      </c>
      <c r="G208" s="112"/>
      <c r="H208" s="111"/>
      <c r="I208" s="111"/>
      <c r="J208" s="237">
        <f t="shared" si="18"/>
        <v>0</v>
      </c>
    </row>
    <row r="209" spans="1:10" s="138" customFormat="1" ht="15" customHeight="1" hidden="1" outlineLevel="3">
      <c r="A209" s="136" t="s">
        <v>441</v>
      </c>
      <c r="B209" s="137" t="s">
        <v>389</v>
      </c>
      <c r="C209" s="112">
        <v>370</v>
      </c>
      <c r="D209" s="137">
        <v>12</v>
      </c>
      <c r="E209" s="112"/>
      <c r="F209" s="110">
        <f t="shared" si="17"/>
        <v>0</v>
      </c>
      <c r="G209" s="112"/>
      <c r="H209" s="111"/>
      <c r="I209" s="111"/>
      <c r="J209" s="237">
        <f t="shared" si="18"/>
        <v>0</v>
      </c>
    </row>
    <row r="210" spans="1:10" s="138" customFormat="1" ht="15" customHeight="1" hidden="1" outlineLevel="3">
      <c r="A210" s="136" t="s">
        <v>442</v>
      </c>
      <c r="B210" s="137" t="s">
        <v>389</v>
      </c>
      <c r="C210" s="112">
        <v>360</v>
      </c>
      <c r="D210" s="137">
        <v>12</v>
      </c>
      <c r="E210" s="112"/>
      <c r="F210" s="110">
        <f t="shared" si="17"/>
        <v>0</v>
      </c>
      <c r="G210" s="112"/>
      <c r="H210" s="111"/>
      <c r="I210" s="111"/>
      <c r="J210" s="237">
        <f t="shared" si="18"/>
        <v>0</v>
      </c>
    </row>
    <row r="211" spans="1:10" s="138" customFormat="1" ht="15" customHeight="1" hidden="1" outlineLevel="3">
      <c r="A211" s="136" t="s">
        <v>443</v>
      </c>
      <c r="B211" s="137" t="s">
        <v>389</v>
      </c>
      <c r="C211" s="112">
        <v>510</v>
      </c>
      <c r="D211" s="137">
        <v>12</v>
      </c>
      <c r="E211" s="112"/>
      <c r="F211" s="110">
        <f t="shared" si="17"/>
        <v>0</v>
      </c>
      <c r="G211" s="112"/>
      <c r="H211" s="111"/>
      <c r="I211" s="111"/>
      <c r="J211" s="237">
        <f t="shared" si="18"/>
        <v>0</v>
      </c>
    </row>
    <row r="212" spans="1:10" s="138" customFormat="1" ht="15" customHeight="1" hidden="1" outlineLevel="3">
      <c r="A212" s="136" t="s">
        <v>444</v>
      </c>
      <c r="B212" s="137" t="s">
        <v>389</v>
      </c>
      <c r="C212" s="112">
        <v>490</v>
      </c>
      <c r="D212" s="137">
        <v>12</v>
      </c>
      <c r="E212" s="112"/>
      <c r="F212" s="110">
        <f t="shared" si="17"/>
        <v>0</v>
      </c>
      <c r="G212" s="112"/>
      <c r="H212" s="111"/>
      <c r="I212" s="111"/>
      <c r="J212" s="237">
        <f t="shared" si="18"/>
        <v>0</v>
      </c>
    </row>
    <row r="213" spans="1:10" s="138" customFormat="1" ht="15" customHeight="1" hidden="1" outlineLevel="3">
      <c r="A213" s="136" t="s">
        <v>445</v>
      </c>
      <c r="B213" s="137" t="s">
        <v>389</v>
      </c>
      <c r="C213" s="112">
        <v>470</v>
      </c>
      <c r="D213" s="137">
        <v>12</v>
      </c>
      <c r="E213" s="112"/>
      <c r="F213" s="110">
        <f t="shared" si="17"/>
        <v>0</v>
      </c>
      <c r="G213" s="112"/>
      <c r="H213" s="111"/>
      <c r="I213" s="111"/>
      <c r="J213" s="237">
        <f t="shared" si="18"/>
        <v>0</v>
      </c>
    </row>
    <row r="214" spans="1:10" s="138" customFormat="1" ht="15" customHeight="1" hidden="1" outlineLevel="3">
      <c r="A214" s="136" t="s">
        <v>446</v>
      </c>
      <c r="B214" s="137" t="s">
        <v>389</v>
      </c>
      <c r="C214" s="112">
        <v>560</v>
      </c>
      <c r="D214" s="137">
        <v>12</v>
      </c>
      <c r="E214" s="112"/>
      <c r="F214" s="110">
        <f t="shared" si="17"/>
        <v>0</v>
      </c>
      <c r="G214" s="112"/>
      <c r="H214" s="111"/>
      <c r="I214" s="111"/>
      <c r="J214" s="237">
        <f t="shared" si="18"/>
        <v>0</v>
      </c>
    </row>
    <row r="215" spans="1:10" s="138" customFormat="1" ht="15" customHeight="1" hidden="1" outlineLevel="3">
      <c r="A215" s="136" t="s">
        <v>447</v>
      </c>
      <c r="B215" s="137" t="s">
        <v>389</v>
      </c>
      <c r="C215" s="112">
        <v>550</v>
      </c>
      <c r="D215" s="137">
        <v>12</v>
      </c>
      <c r="E215" s="112"/>
      <c r="F215" s="110">
        <f t="shared" si="17"/>
        <v>0</v>
      </c>
      <c r="G215" s="112"/>
      <c r="H215" s="111"/>
      <c r="I215" s="111"/>
      <c r="J215" s="237">
        <f t="shared" si="18"/>
        <v>0</v>
      </c>
    </row>
    <row r="216" spans="1:10" s="138" customFormat="1" ht="15" customHeight="1" hidden="1" outlineLevel="3">
      <c r="A216" s="136" t="s">
        <v>448</v>
      </c>
      <c r="B216" s="137" t="s">
        <v>389</v>
      </c>
      <c r="C216" s="112">
        <v>530</v>
      </c>
      <c r="D216" s="137">
        <v>12</v>
      </c>
      <c r="E216" s="112"/>
      <c r="F216" s="110">
        <f t="shared" si="17"/>
        <v>0</v>
      </c>
      <c r="G216" s="112"/>
      <c r="H216" s="111"/>
      <c r="I216" s="111"/>
      <c r="J216" s="237">
        <f t="shared" si="18"/>
        <v>0</v>
      </c>
    </row>
    <row r="217" spans="1:10" s="138" customFormat="1" ht="15" customHeight="1" hidden="1" outlineLevel="3">
      <c r="A217" s="136" t="s">
        <v>449</v>
      </c>
      <c r="B217" s="137" t="s">
        <v>389</v>
      </c>
      <c r="C217" s="112">
        <v>500</v>
      </c>
      <c r="D217" s="137">
        <v>12</v>
      </c>
      <c r="E217" s="112"/>
      <c r="F217" s="110">
        <f t="shared" si="17"/>
        <v>0</v>
      </c>
      <c r="G217" s="112"/>
      <c r="H217" s="111"/>
      <c r="I217" s="111"/>
      <c r="J217" s="237">
        <f t="shared" si="18"/>
        <v>0</v>
      </c>
    </row>
    <row r="218" spans="1:10" s="138" customFormat="1" ht="15" customHeight="1" hidden="1" outlineLevel="3">
      <c r="A218" s="136" t="s">
        <v>450</v>
      </c>
      <c r="B218" s="137" t="s">
        <v>389</v>
      </c>
      <c r="C218" s="112">
        <v>490</v>
      </c>
      <c r="D218" s="137">
        <v>12</v>
      </c>
      <c r="E218" s="112"/>
      <c r="F218" s="110">
        <f t="shared" si="17"/>
        <v>0</v>
      </c>
      <c r="G218" s="112"/>
      <c r="H218" s="111"/>
      <c r="I218" s="111"/>
      <c r="J218" s="237">
        <f t="shared" si="18"/>
        <v>0</v>
      </c>
    </row>
    <row r="219" spans="1:10" s="138" customFormat="1" ht="15" customHeight="1" hidden="1" outlineLevel="3">
      <c r="A219" s="136" t="s">
        <v>451</v>
      </c>
      <c r="B219" s="137" t="s">
        <v>389</v>
      </c>
      <c r="C219" s="112">
        <v>460</v>
      </c>
      <c r="D219" s="137">
        <v>12</v>
      </c>
      <c r="E219" s="112"/>
      <c r="F219" s="110">
        <f t="shared" si="17"/>
        <v>0</v>
      </c>
      <c r="G219" s="112"/>
      <c r="H219" s="111"/>
      <c r="I219" s="111"/>
      <c r="J219" s="237">
        <f t="shared" si="18"/>
        <v>0</v>
      </c>
    </row>
    <row r="220" spans="1:10" s="138" customFormat="1" ht="15" customHeight="1" hidden="1" outlineLevel="3">
      <c r="A220" s="136" t="s">
        <v>452</v>
      </c>
      <c r="B220" s="137" t="s">
        <v>389</v>
      </c>
      <c r="C220" s="112">
        <v>530</v>
      </c>
      <c r="D220" s="137">
        <v>12</v>
      </c>
      <c r="E220" s="112"/>
      <c r="F220" s="110">
        <f t="shared" si="17"/>
        <v>0</v>
      </c>
      <c r="G220" s="112"/>
      <c r="H220" s="111"/>
      <c r="I220" s="111"/>
      <c r="J220" s="237">
        <f t="shared" si="18"/>
        <v>0</v>
      </c>
    </row>
    <row r="221" spans="1:10" s="138" customFormat="1" ht="15" customHeight="1" hidden="1" outlineLevel="3">
      <c r="A221" s="136" t="s">
        <v>453</v>
      </c>
      <c r="B221" s="137" t="s">
        <v>389</v>
      </c>
      <c r="C221" s="112">
        <v>510</v>
      </c>
      <c r="D221" s="137">
        <v>12</v>
      </c>
      <c r="E221" s="112"/>
      <c r="F221" s="110">
        <f t="shared" si="17"/>
        <v>0</v>
      </c>
      <c r="G221" s="112"/>
      <c r="H221" s="111"/>
      <c r="I221" s="111"/>
      <c r="J221" s="237">
        <f t="shared" si="18"/>
        <v>0</v>
      </c>
    </row>
    <row r="222" spans="1:10" s="138" customFormat="1" ht="15" customHeight="1" hidden="1" outlineLevel="3">
      <c r="A222" s="136" t="s">
        <v>454</v>
      </c>
      <c r="B222" s="137" t="s">
        <v>389</v>
      </c>
      <c r="C222" s="112">
        <v>490</v>
      </c>
      <c r="D222" s="137">
        <v>12</v>
      </c>
      <c r="E222" s="112"/>
      <c r="F222" s="110">
        <f aca="true" t="shared" si="19" ref="F222:F246">E222/C222*D222</f>
        <v>0</v>
      </c>
      <c r="G222" s="112"/>
      <c r="H222" s="111"/>
      <c r="I222" s="111"/>
      <c r="J222" s="237">
        <f t="shared" si="18"/>
        <v>0</v>
      </c>
    </row>
    <row r="223" spans="1:10" s="138" customFormat="1" ht="15" customHeight="1" hidden="1" outlineLevel="3">
      <c r="A223" s="136" t="s">
        <v>455</v>
      </c>
      <c r="B223" s="137" t="s">
        <v>389</v>
      </c>
      <c r="C223" s="112">
        <v>560</v>
      </c>
      <c r="D223" s="137">
        <v>12</v>
      </c>
      <c r="E223" s="112"/>
      <c r="F223" s="110">
        <f t="shared" si="19"/>
        <v>0</v>
      </c>
      <c r="G223" s="112"/>
      <c r="H223" s="111"/>
      <c r="I223" s="111"/>
      <c r="J223" s="237">
        <f t="shared" si="18"/>
        <v>0</v>
      </c>
    </row>
    <row r="224" spans="1:10" s="138" customFormat="1" ht="15" customHeight="1" hidden="1" outlineLevel="3">
      <c r="A224" s="136" t="s">
        <v>456</v>
      </c>
      <c r="B224" s="137" t="s">
        <v>389</v>
      </c>
      <c r="C224" s="112">
        <v>550</v>
      </c>
      <c r="D224" s="137">
        <v>12</v>
      </c>
      <c r="E224" s="112"/>
      <c r="F224" s="110">
        <f t="shared" si="19"/>
        <v>0</v>
      </c>
      <c r="G224" s="112"/>
      <c r="H224" s="111"/>
      <c r="I224" s="111"/>
      <c r="J224" s="237">
        <f t="shared" si="18"/>
        <v>0</v>
      </c>
    </row>
    <row r="225" spans="1:10" s="138" customFormat="1" ht="15" customHeight="1" hidden="1" outlineLevel="3">
      <c r="A225" s="136" t="s">
        <v>457</v>
      </c>
      <c r="B225" s="137" t="s">
        <v>389</v>
      </c>
      <c r="C225" s="112">
        <v>530</v>
      </c>
      <c r="D225" s="137">
        <v>12</v>
      </c>
      <c r="E225" s="112"/>
      <c r="F225" s="110">
        <f t="shared" si="19"/>
        <v>0</v>
      </c>
      <c r="G225" s="112"/>
      <c r="H225" s="111"/>
      <c r="I225" s="111"/>
      <c r="J225" s="237">
        <f t="shared" si="18"/>
        <v>0</v>
      </c>
    </row>
    <row r="226" spans="1:10" s="138" customFormat="1" ht="15" customHeight="1" hidden="1" outlineLevel="3">
      <c r="A226" s="136" t="s">
        <v>458</v>
      </c>
      <c r="B226" s="137" t="s">
        <v>389</v>
      </c>
      <c r="C226" s="112">
        <v>490</v>
      </c>
      <c r="D226" s="137">
        <v>12</v>
      </c>
      <c r="E226" s="112"/>
      <c r="F226" s="110">
        <f t="shared" si="19"/>
        <v>0</v>
      </c>
      <c r="G226" s="112"/>
      <c r="H226" s="111"/>
      <c r="I226" s="111"/>
      <c r="J226" s="237">
        <f t="shared" si="18"/>
        <v>0</v>
      </c>
    </row>
    <row r="227" spans="1:10" s="138" customFormat="1" ht="15" customHeight="1" hidden="1" outlineLevel="3">
      <c r="A227" s="136" t="s">
        <v>459</v>
      </c>
      <c r="B227" s="137" t="s">
        <v>389</v>
      </c>
      <c r="C227" s="112">
        <v>480</v>
      </c>
      <c r="D227" s="137">
        <v>12</v>
      </c>
      <c r="E227" s="112"/>
      <c r="F227" s="110">
        <f t="shared" si="19"/>
        <v>0</v>
      </c>
      <c r="G227" s="112"/>
      <c r="H227" s="111"/>
      <c r="I227" s="111"/>
      <c r="J227" s="237">
        <f t="shared" si="18"/>
        <v>0</v>
      </c>
    </row>
    <row r="228" spans="1:10" s="138" customFormat="1" ht="15" customHeight="1" hidden="1" outlineLevel="3">
      <c r="A228" s="136" t="s">
        <v>460</v>
      </c>
      <c r="B228" s="137" t="s">
        <v>389</v>
      </c>
      <c r="C228" s="112">
        <v>470</v>
      </c>
      <c r="D228" s="137">
        <v>12</v>
      </c>
      <c r="E228" s="112"/>
      <c r="F228" s="110">
        <f t="shared" si="19"/>
        <v>0</v>
      </c>
      <c r="G228" s="112"/>
      <c r="H228" s="111"/>
      <c r="I228" s="111"/>
      <c r="J228" s="237">
        <f t="shared" si="18"/>
        <v>0</v>
      </c>
    </row>
    <row r="229" spans="1:10" s="138" customFormat="1" ht="15" customHeight="1" hidden="1" outlineLevel="3">
      <c r="A229" s="136" t="s">
        <v>461</v>
      </c>
      <c r="B229" s="137" t="s">
        <v>389</v>
      </c>
      <c r="C229" s="112">
        <v>580</v>
      </c>
      <c r="D229" s="137">
        <v>12</v>
      </c>
      <c r="E229" s="112"/>
      <c r="F229" s="110">
        <f t="shared" si="19"/>
        <v>0</v>
      </c>
      <c r="G229" s="112"/>
      <c r="H229" s="111"/>
      <c r="I229" s="111"/>
      <c r="J229" s="237">
        <f t="shared" si="18"/>
        <v>0</v>
      </c>
    </row>
    <row r="230" spans="1:10" s="138" customFormat="1" ht="15" customHeight="1" hidden="1" outlineLevel="3">
      <c r="A230" s="136" t="s">
        <v>462</v>
      </c>
      <c r="B230" s="137" t="s">
        <v>389</v>
      </c>
      <c r="C230" s="112">
        <v>560</v>
      </c>
      <c r="D230" s="137">
        <v>12</v>
      </c>
      <c r="E230" s="112"/>
      <c r="F230" s="110">
        <f t="shared" si="19"/>
        <v>0</v>
      </c>
      <c r="G230" s="112"/>
      <c r="H230" s="111"/>
      <c r="I230" s="111"/>
      <c r="J230" s="237">
        <f t="shared" si="18"/>
        <v>0</v>
      </c>
    </row>
    <row r="231" spans="1:10" s="138" customFormat="1" ht="15" customHeight="1" hidden="1" outlineLevel="3">
      <c r="A231" s="136" t="s">
        <v>463</v>
      </c>
      <c r="B231" s="137" t="s">
        <v>389</v>
      </c>
      <c r="C231" s="112">
        <v>540</v>
      </c>
      <c r="D231" s="137">
        <v>12</v>
      </c>
      <c r="E231" s="112"/>
      <c r="F231" s="110">
        <f t="shared" si="19"/>
        <v>0</v>
      </c>
      <c r="G231" s="112"/>
      <c r="H231" s="111"/>
      <c r="I231" s="111"/>
      <c r="J231" s="237">
        <f t="shared" si="18"/>
        <v>0</v>
      </c>
    </row>
    <row r="232" spans="1:10" s="138" customFormat="1" ht="15" customHeight="1" hidden="1" outlineLevel="3">
      <c r="A232" s="136" t="s">
        <v>464</v>
      </c>
      <c r="B232" s="137" t="s">
        <v>389</v>
      </c>
      <c r="C232" s="112">
        <v>600</v>
      </c>
      <c r="D232" s="137">
        <v>12</v>
      </c>
      <c r="E232" s="112"/>
      <c r="F232" s="110">
        <f t="shared" si="19"/>
        <v>0</v>
      </c>
      <c r="G232" s="112"/>
      <c r="H232" s="111"/>
      <c r="I232" s="111"/>
      <c r="J232" s="237">
        <f t="shared" si="18"/>
        <v>0</v>
      </c>
    </row>
    <row r="233" spans="1:10" s="138" customFormat="1" ht="15" customHeight="1" hidden="1" outlineLevel="3">
      <c r="A233" s="136" t="s">
        <v>465</v>
      </c>
      <c r="B233" s="137" t="s">
        <v>389</v>
      </c>
      <c r="C233" s="112">
        <v>600</v>
      </c>
      <c r="D233" s="137">
        <v>12</v>
      </c>
      <c r="E233" s="112"/>
      <c r="F233" s="110">
        <f t="shared" si="19"/>
        <v>0</v>
      </c>
      <c r="G233" s="112"/>
      <c r="H233" s="111"/>
      <c r="I233" s="111"/>
      <c r="J233" s="237">
        <f t="shared" si="18"/>
        <v>0</v>
      </c>
    </row>
    <row r="234" spans="1:10" s="138" customFormat="1" ht="15" customHeight="1" hidden="1" outlineLevel="3">
      <c r="A234" s="136" t="s">
        <v>466</v>
      </c>
      <c r="B234" s="137" t="s">
        <v>389</v>
      </c>
      <c r="C234" s="112">
        <v>580</v>
      </c>
      <c r="D234" s="137">
        <v>12</v>
      </c>
      <c r="E234" s="112"/>
      <c r="F234" s="110">
        <f t="shared" si="19"/>
        <v>0</v>
      </c>
      <c r="G234" s="112"/>
      <c r="H234" s="111"/>
      <c r="I234" s="111"/>
      <c r="J234" s="237">
        <f t="shared" si="18"/>
        <v>0</v>
      </c>
    </row>
    <row r="235" spans="1:10" s="138" customFormat="1" ht="15" customHeight="1" hidden="1" outlineLevel="3">
      <c r="A235" s="136" t="s">
        <v>467</v>
      </c>
      <c r="B235" s="137" t="s">
        <v>389</v>
      </c>
      <c r="C235" s="112">
        <v>530</v>
      </c>
      <c r="D235" s="137">
        <v>12</v>
      </c>
      <c r="E235" s="112"/>
      <c r="F235" s="110">
        <f t="shared" si="19"/>
        <v>0</v>
      </c>
      <c r="G235" s="112"/>
      <c r="H235" s="111"/>
      <c r="I235" s="111"/>
      <c r="J235" s="237">
        <f t="shared" si="18"/>
        <v>0</v>
      </c>
    </row>
    <row r="236" spans="1:10" s="138" customFormat="1" ht="15" customHeight="1" hidden="1" outlineLevel="3">
      <c r="A236" s="136" t="s">
        <v>468</v>
      </c>
      <c r="B236" s="137" t="s">
        <v>389</v>
      </c>
      <c r="C236" s="112">
        <v>530</v>
      </c>
      <c r="D236" s="137">
        <v>12</v>
      </c>
      <c r="E236" s="112"/>
      <c r="F236" s="110">
        <f t="shared" si="19"/>
        <v>0</v>
      </c>
      <c r="G236" s="112"/>
      <c r="H236" s="111"/>
      <c r="I236" s="111"/>
      <c r="J236" s="237">
        <f t="shared" si="18"/>
        <v>0</v>
      </c>
    </row>
    <row r="237" spans="1:10" s="138" customFormat="1" ht="15" customHeight="1" hidden="1" outlineLevel="3">
      <c r="A237" s="136" t="s">
        <v>469</v>
      </c>
      <c r="B237" s="137" t="s">
        <v>389</v>
      </c>
      <c r="C237" s="112">
        <v>510</v>
      </c>
      <c r="D237" s="137">
        <v>12</v>
      </c>
      <c r="E237" s="112"/>
      <c r="F237" s="110">
        <f t="shared" si="19"/>
        <v>0</v>
      </c>
      <c r="G237" s="112"/>
      <c r="H237" s="111"/>
      <c r="I237" s="111"/>
      <c r="J237" s="237">
        <f aca="true" t="shared" si="20" ref="J237:J300">I237/$E$9</f>
        <v>0</v>
      </c>
    </row>
    <row r="238" spans="1:10" s="138" customFormat="1" ht="15" customHeight="1" hidden="1" outlineLevel="3">
      <c r="A238" s="136" t="s">
        <v>470</v>
      </c>
      <c r="B238" s="137" t="s">
        <v>389</v>
      </c>
      <c r="C238" s="112">
        <v>640</v>
      </c>
      <c r="D238" s="137">
        <v>12</v>
      </c>
      <c r="E238" s="112"/>
      <c r="F238" s="110">
        <f t="shared" si="19"/>
        <v>0</v>
      </c>
      <c r="G238" s="112"/>
      <c r="H238" s="111"/>
      <c r="I238" s="111"/>
      <c r="J238" s="237">
        <f t="shared" si="20"/>
        <v>0</v>
      </c>
    </row>
    <row r="239" spans="1:10" s="138" customFormat="1" ht="15" customHeight="1" hidden="1" outlineLevel="3">
      <c r="A239" s="136" t="s">
        <v>471</v>
      </c>
      <c r="B239" s="137" t="s">
        <v>389</v>
      </c>
      <c r="C239" s="112">
        <v>510</v>
      </c>
      <c r="D239" s="137">
        <v>12</v>
      </c>
      <c r="E239" s="112"/>
      <c r="F239" s="110">
        <f t="shared" si="19"/>
        <v>0</v>
      </c>
      <c r="G239" s="112"/>
      <c r="H239" s="111"/>
      <c r="I239" s="111"/>
      <c r="J239" s="237">
        <f t="shared" si="20"/>
        <v>0</v>
      </c>
    </row>
    <row r="240" spans="1:10" s="138" customFormat="1" ht="15" customHeight="1" hidden="1" outlineLevel="3">
      <c r="A240" s="136" t="s">
        <v>472</v>
      </c>
      <c r="B240" s="137" t="s">
        <v>389</v>
      </c>
      <c r="C240" s="112">
        <v>490</v>
      </c>
      <c r="D240" s="137">
        <v>12</v>
      </c>
      <c r="E240" s="112"/>
      <c r="F240" s="110">
        <f t="shared" si="19"/>
        <v>0</v>
      </c>
      <c r="G240" s="112"/>
      <c r="H240" s="111"/>
      <c r="I240" s="111"/>
      <c r="J240" s="237">
        <f t="shared" si="20"/>
        <v>0</v>
      </c>
    </row>
    <row r="241" spans="1:10" s="138" customFormat="1" ht="15" customHeight="1" hidden="1" outlineLevel="3">
      <c r="A241" s="136" t="s">
        <v>473</v>
      </c>
      <c r="B241" s="137" t="s">
        <v>389</v>
      </c>
      <c r="C241" s="112">
        <v>670</v>
      </c>
      <c r="D241" s="137">
        <v>12</v>
      </c>
      <c r="E241" s="112"/>
      <c r="F241" s="110">
        <f t="shared" si="19"/>
        <v>0</v>
      </c>
      <c r="G241" s="112"/>
      <c r="H241" s="111"/>
      <c r="I241" s="111"/>
      <c r="J241" s="237">
        <f t="shared" si="20"/>
        <v>0</v>
      </c>
    </row>
    <row r="242" spans="1:10" s="138" customFormat="1" ht="15" customHeight="1" hidden="1" outlineLevel="3">
      <c r="A242" s="136" t="s">
        <v>474</v>
      </c>
      <c r="B242" s="137" t="s">
        <v>389</v>
      </c>
      <c r="C242" s="112">
        <v>660</v>
      </c>
      <c r="D242" s="137">
        <v>12</v>
      </c>
      <c r="E242" s="112"/>
      <c r="F242" s="110">
        <f t="shared" si="19"/>
        <v>0</v>
      </c>
      <c r="G242" s="112"/>
      <c r="H242" s="111"/>
      <c r="I242" s="111"/>
      <c r="J242" s="237">
        <f t="shared" si="20"/>
        <v>0</v>
      </c>
    </row>
    <row r="243" spans="1:10" s="138" customFormat="1" ht="15" customHeight="1" hidden="1" outlineLevel="3">
      <c r="A243" s="136" t="s">
        <v>475</v>
      </c>
      <c r="B243" s="137" t="s">
        <v>389</v>
      </c>
      <c r="C243" s="112">
        <v>640</v>
      </c>
      <c r="D243" s="137">
        <v>12</v>
      </c>
      <c r="E243" s="112"/>
      <c r="F243" s="110">
        <f t="shared" si="19"/>
        <v>0</v>
      </c>
      <c r="G243" s="112"/>
      <c r="H243" s="111"/>
      <c r="I243" s="111"/>
      <c r="J243" s="237">
        <f t="shared" si="20"/>
        <v>0</v>
      </c>
    </row>
    <row r="244" spans="1:10" s="138" customFormat="1" ht="15" customHeight="1" hidden="1" outlineLevel="3">
      <c r="A244" s="136" t="s">
        <v>476</v>
      </c>
      <c r="B244" s="137" t="s">
        <v>389</v>
      </c>
      <c r="C244" s="112">
        <v>590</v>
      </c>
      <c r="D244" s="137">
        <v>12</v>
      </c>
      <c r="E244" s="112"/>
      <c r="F244" s="110">
        <f t="shared" si="19"/>
        <v>0</v>
      </c>
      <c r="G244" s="112"/>
      <c r="H244" s="111"/>
      <c r="I244" s="111"/>
      <c r="J244" s="237">
        <f t="shared" si="20"/>
        <v>0</v>
      </c>
    </row>
    <row r="245" spans="1:10" s="138" customFormat="1" ht="15" customHeight="1" hidden="1" outlineLevel="3">
      <c r="A245" s="136" t="s">
        <v>477</v>
      </c>
      <c r="B245" s="137" t="s">
        <v>389</v>
      </c>
      <c r="C245" s="112">
        <v>580</v>
      </c>
      <c r="D245" s="137">
        <v>12</v>
      </c>
      <c r="E245" s="112"/>
      <c r="F245" s="110">
        <f t="shared" si="19"/>
        <v>0</v>
      </c>
      <c r="G245" s="112"/>
      <c r="H245" s="111"/>
      <c r="I245" s="111"/>
      <c r="J245" s="237">
        <f t="shared" si="20"/>
        <v>0</v>
      </c>
    </row>
    <row r="246" spans="1:10" s="138" customFormat="1" ht="15" customHeight="1" hidden="1" outlineLevel="3">
      <c r="A246" s="136" t="s">
        <v>478</v>
      </c>
      <c r="B246" s="137" t="s">
        <v>389</v>
      </c>
      <c r="C246" s="112">
        <v>560</v>
      </c>
      <c r="D246" s="137">
        <v>12</v>
      </c>
      <c r="E246" s="112"/>
      <c r="F246" s="110">
        <f t="shared" si="19"/>
        <v>0</v>
      </c>
      <c r="G246" s="112"/>
      <c r="H246" s="111"/>
      <c r="I246" s="111"/>
      <c r="J246" s="237">
        <f t="shared" si="20"/>
        <v>0</v>
      </c>
    </row>
    <row r="247" spans="1:10" s="69" customFormat="1" ht="15" customHeight="1" hidden="1" outlineLevel="1">
      <c r="A247" s="135" t="s">
        <v>365</v>
      </c>
      <c r="B247" s="68" t="s">
        <v>364</v>
      </c>
      <c r="C247" s="68" t="str">
        <f>E156</f>
        <v>х</v>
      </c>
      <c r="D247" s="139">
        <v>0.5</v>
      </c>
      <c r="E247" s="108">
        <f>H156</f>
        <v>0</v>
      </c>
      <c r="F247" s="68">
        <f>E247/12</f>
        <v>0</v>
      </c>
      <c r="G247" s="107">
        <v>0.5</v>
      </c>
      <c r="H247" s="108">
        <f>E247*G247</f>
        <v>0</v>
      </c>
      <c r="I247" s="108">
        <f>H247/12</f>
        <v>0</v>
      </c>
      <c r="J247" s="237">
        <f t="shared" si="20"/>
        <v>0</v>
      </c>
    </row>
    <row r="248" spans="1:10" s="69" customFormat="1" ht="15" customHeight="1" hidden="1" outlineLevel="1">
      <c r="A248" s="135" t="s">
        <v>366</v>
      </c>
      <c r="B248" s="68" t="s">
        <v>364</v>
      </c>
      <c r="C248" s="68" t="s">
        <v>364</v>
      </c>
      <c r="D248" s="139">
        <v>0.12</v>
      </c>
      <c r="E248" s="108">
        <f>H156+H247</f>
        <v>0</v>
      </c>
      <c r="F248" s="68">
        <f>E248/12</f>
        <v>0</v>
      </c>
      <c r="G248" s="107">
        <v>0.12</v>
      </c>
      <c r="H248" s="108">
        <f>E248*G248</f>
        <v>0</v>
      </c>
      <c r="I248" s="108">
        <f>H248/12</f>
        <v>0</v>
      </c>
      <c r="J248" s="237">
        <f t="shared" si="20"/>
        <v>0</v>
      </c>
    </row>
    <row r="249" spans="1:10" s="69" customFormat="1" ht="15" customHeight="1" hidden="1" outlineLevel="1">
      <c r="A249" s="135" t="s">
        <v>367</v>
      </c>
      <c r="B249" s="68" t="s">
        <v>364</v>
      </c>
      <c r="C249" s="68" t="s">
        <v>364</v>
      </c>
      <c r="D249" s="139">
        <v>0.342</v>
      </c>
      <c r="E249" s="108">
        <f>H156+H247+H248</f>
        <v>0</v>
      </c>
      <c r="F249" s="68">
        <f>E249/12</f>
        <v>0</v>
      </c>
      <c r="G249" s="107">
        <v>0.342</v>
      </c>
      <c r="H249" s="108">
        <f>E249*G249</f>
        <v>0</v>
      </c>
      <c r="I249" s="108">
        <f>H249/12</f>
        <v>0</v>
      </c>
      <c r="J249" s="237">
        <f t="shared" si="20"/>
        <v>0</v>
      </c>
    </row>
    <row r="250" spans="1:10" s="69" customFormat="1" ht="15" customHeight="1" hidden="1" outlineLevel="1">
      <c r="A250" s="135" t="s">
        <v>369</v>
      </c>
      <c r="B250" s="68" t="s">
        <v>364</v>
      </c>
      <c r="C250" s="124" t="s">
        <v>364</v>
      </c>
      <c r="D250" s="124" t="s">
        <v>364</v>
      </c>
      <c r="E250" s="124" t="s">
        <v>364</v>
      </c>
      <c r="F250" s="125" t="s">
        <v>364</v>
      </c>
      <c r="G250" s="125" t="s">
        <v>364</v>
      </c>
      <c r="H250" s="108">
        <f>SUM(H251:H269)</f>
        <v>0</v>
      </c>
      <c r="I250" s="108">
        <f>H250/12</f>
        <v>0</v>
      </c>
      <c r="J250" s="237">
        <f t="shared" si="20"/>
        <v>0</v>
      </c>
    </row>
    <row r="251" spans="1:10" s="123" customFormat="1" ht="15" customHeight="1" hidden="1" outlineLevel="3">
      <c r="A251" s="102" t="s">
        <v>479</v>
      </c>
      <c r="B251" s="129" t="s">
        <v>370</v>
      </c>
      <c r="C251" s="120">
        <f>1/12</f>
        <v>0.08333333333333333</v>
      </c>
      <c r="D251" s="140">
        <v>12</v>
      </c>
      <c r="E251" s="119">
        <v>0</v>
      </c>
      <c r="F251" s="120">
        <f>C251*D251*E251</f>
        <v>0</v>
      </c>
      <c r="G251" s="121">
        <v>500</v>
      </c>
      <c r="H251" s="121">
        <f>F251*G251</f>
        <v>0</v>
      </c>
      <c r="I251" s="121">
        <f>H251/12</f>
        <v>0</v>
      </c>
      <c r="J251" s="237">
        <f t="shared" si="20"/>
        <v>0</v>
      </c>
    </row>
    <row r="252" spans="1:10" s="123" customFormat="1" ht="15" customHeight="1" hidden="1" outlineLevel="3">
      <c r="A252" s="102" t="s">
        <v>381</v>
      </c>
      <c r="B252" s="129" t="s">
        <v>370</v>
      </c>
      <c r="C252" s="120">
        <v>1</v>
      </c>
      <c r="D252" s="140">
        <v>12</v>
      </c>
      <c r="E252" s="119">
        <v>0</v>
      </c>
      <c r="F252" s="120">
        <f aca="true" t="shared" si="21" ref="F252:F269">C252*D252*E252</f>
        <v>0</v>
      </c>
      <c r="G252" s="121">
        <v>14</v>
      </c>
      <c r="H252" s="121">
        <f aca="true" t="shared" si="22" ref="H252:H267">F252*G252</f>
        <v>0</v>
      </c>
      <c r="I252" s="121">
        <f aca="true" t="shared" si="23" ref="I252:I269">H252/12</f>
        <v>0</v>
      </c>
      <c r="J252" s="237">
        <f t="shared" si="20"/>
        <v>0</v>
      </c>
    </row>
    <row r="253" spans="1:10" s="123" customFormat="1" ht="15" customHeight="1" hidden="1" outlineLevel="3">
      <c r="A253" s="102" t="s">
        <v>480</v>
      </c>
      <c r="B253" s="129" t="s">
        <v>370</v>
      </c>
      <c r="C253" s="120">
        <f>1/12</f>
        <v>0.08333333333333333</v>
      </c>
      <c r="D253" s="140">
        <v>12</v>
      </c>
      <c r="E253" s="119">
        <v>0</v>
      </c>
      <c r="F253" s="120">
        <f t="shared" si="21"/>
        <v>0</v>
      </c>
      <c r="G253" s="121">
        <v>120</v>
      </c>
      <c r="H253" s="121">
        <f t="shared" si="22"/>
        <v>0</v>
      </c>
      <c r="I253" s="121">
        <f t="shared" si="23"/>
        <v>0</v>
      </c>
      <c r="J253" s="237">
        <f t="shared" si="20"/>
        <v>0</v>
      </c>
    </row>
    <row r="254" spans="1:10" s="123" customFormat="1" ht="15" customHeight="1" hidden="1" outlineLevel="3">
      <c r="A254" s="102" t="s">
        <v>481</v>
      </c>
      <c r="B254" s="129" t="s">
        <v>370</v>
      </c>
      <c r="C254" s="120">
        <f>1/36</f>
        <v>0.027777777777777776</v>
      </c>
      <c r="D254" s="140">
        <v>12</v>
      </c>
      <c r="E254" s="119">
        <v>0</v>
      </c>
      <c r="F254" s="120">
        <f t="shared" si="21"/>
        <v>0</v>
      </c>
      <c r="G254" s="121">
        <v>1200</v>
      </c>
      <c r="H254" s="121">
        <f t="shared" si="22"/>
        <v>0</v>
      </c>
      <c r="I254" s="121">
        <f t="shared" si="23"/>
        <v>0</v>
      </c>
      <c r="J254" s="237">
        <f t="shared" si="20"/>
        <v>0</v>
      </c>
    </row>
    <row r="255" spans="1:10" s="123" customFormat="1" ht="15" customHeight="1" hidden="1" outlineLevel="3">
      <c r="A255" s="102" t="s">
        <v>482</v>
      </c>
      <c r="B255" s="129" t="s">
        <v>370</v>
      </c>
      <c r="C255" s="120">
        <f>1/36</f>
        <v>0.027777777777777776</v>
      </c>
      <c r="D255" s="140">
        <v>12</v>
      </c>
      <c r="E255" s="119">
        <v>0</v>
      </c>
      <c r="F255" s="120">
        <f t="shared" si="21"/>
        <v>0</v>
      </c>
      <c r="G255" s="121">
        <v>1200</v>
      </c>
      <c r="H255" s="121">
        <f t="shared" si="22"/>
        <v>0</v>
      </c>
      <c r="I255" s="121">
        <f t="shared" si="23"/>
        <v>0</v>
      </c>
      <c r="J255" s="237">
        <f t="shared" si="20"/>
        <v>0</v>
      </c>
    </row>
    <row r="256" spans="1:10" s="123" customFormat="1" ht="15" customHeight="1" hidden="1" outlineLevel="3">
      <c r="A256" s="102" t="s">
        <v>371</v>
      </c>
      <c r="B256" s="129" t="s">
        <v>370</v>
      </c>
      <c r="C256" s="120">
        <f>1/36</f>
        <v>0.027777777777777776</v>
      </c>
      <c r="D256" s="140">
        <v>12</v>
      </c>
      <c r="E256" s="119">
        <v>0</v>
      </c>
      <c r="F256" s="120">
        <f t="shared" si="21"/>
        <v>0</v>
      </c>
      <c r="G256" s="121">
        <v>600</v>
      </c>
      <c r="H256" s="121">
        <f t="shared" si="22"/>
        <v>0</v>
      </c>
      <c r="I256" s="121">
        <f t="shared" si="23"/>
        <v>0</v>
      </c>
      <c r="J256" s="237">
        <f t="shared" si="20"/>
        <v>0</v>
      </c>
    </row>
    <row r="257" spans="1:10" s="123" customFormat="1" ht="15" customHeight="1" hidden="1" outlineLevel="3">
      <c r="A257" s="102" t="s">
        <v>373</v>
      </c>
      <c r="B257" s="129" t="s">
        <v>370</v>
      </c>
      <c r="C257" s="120">
        <v>0.027777777777777776</v>
      </c>
      <c r="D257" s="140">
        <v>12</v>
      </c>
      <c r="E257" s="119">
        <v>0</v>
      </c>
      <c r="F257" s="120">
        <f t="shared" si="21"/>
        <v>0</v>
      </c>
      <c r="G257" s="121">
        <v>100</v>
      </c>
      <c r="H257" s="121">
        <f t="shared" si="22"/>
        <v>0</v>
      </c>
      <c r="I257" s="121">
        <f t="shared" si="23"/>
        <v>0</v>
      </c>
      <c r="J257" s="237">
        <f t="shared" si="20"/>
        <v>0</v>
      </c>
    </row>
    <row r="258" spans="1:10" s="123" customFormat="1" ht="15" customHeight="1" hidden="1" outlineLevel="3">
      <c r="A258" s="102" t="s">
        <v>483</v>
      </c>
      <c r="B258" s="129" t="s">
        <v>370</v>
      </c>
      <c r="C258" s="120">
        <f>1/36</f>
        <v>0.027777777777777776</v>
      </c>
      <c r="D258" s="140">
        <v>12</v>
      </c>
      <c r="E258" s="119">
        <v>0</v>
      </c>
      <c r="F258" s="120">
        <f t="shared" si="21"/>
        <v>0</v>
      </c>
      <c r="G258" s="121">
        <v>1200</v>
      </c>
      <c r="H258" s="121">
        <f t="shared" si="22"/>
        <v>0</v>
      </c>
      <c r="I258" s="121">
        <f t="shared" si="23"/>
        <v>0</v>
      </c>
      <c r="J258" s="237">
        <f t="shared" si="20"/>
        <v>0</v>
      </c>
    </row>
    <row r="259" spans="1:10" s="123" customFormat="1" ht="15" customHeight="1" hidden="1" outlineLevel="3">
      <c r="A259" s="102" t="s">
        <v>484</v>
      </c>
      <c r="B259" s="129" t="s">
        <v>370</v>
      </c>
      <c r="C259" s="120">
        <f>1/12</f>
        <v>0.08333333333333333</v>
      </c>
      <c r="D259" s="140">
        <v>12</v>
      </c>
      <c r="E259" s="119">
        <v>0</v>
      </c>
      <c r="F259" s="120">
        <f t="shared" si="21"/>
        <v>0</v>
      </c>
      <c r="G259" s="121">
        <v>100</v>
      </c>
      <c r="H259" s="121">
        <f t="shared" si="22"/>
        <v>0</v>
      </c>
      <c r="I259" s="121">
        <f t="shared" si="23"/>
        <v>0</v>
      </c>
      <c r="J259" s="237">
        <f t="shared" si="20"/>
        <v>0</v>
      </c>
    </row>
    <row r="260" spans="1:10" s="123" customFormat="1" ht="15" customHeight="1" hidden="1" outlineLevel="3">
      <c r="A260" s="102" t="s">
        <v>485</v>
      </c>
      <c r="B260" s="129" t="s">
        <v>370</v>
      </c>
      <c r="C260" s="120">
        <v>0.08333333333333333</v>
      </c>
      <c r="D260" s="140">
        <v>12</v>
      </c>
      <c r="E260" s="119">
        <v>0</v>
      </c>
      <c r="F260" s="120">
        <f t="shared" si="21"/>
        <v>0</v>
      </c>
      <c r="G260" s="121">
        <v>100</v>
      </c>
      <c r="H260" s="121">
        <f t="shared" si="22"/>
        <v>0</v>
      </c>
      <c r="I260" s="121">
        <f t="shared" si="23"/>
        <v>0</v>
      </c>
      <c r="J260" s="237">
        <f t="shared" si="20"/>
        <v>0</v>
      </c>
    </row>
    <row r="261" spans="1:10" s="123" customFormat="1" ht="15" customHeight="1" hidden="1" outlineLevel="3">
      <c r="A261" s="102" t="s">
        <v>382</v>
      </c>
      <c r="B261" s="129" t="s">
        <v>370</v>
      </c>
      <c r="C261" s="120">
        <f>1/36</f>
        <v>0.027777777777777776</v>
      </c>
      <c r="D261" s="140">
        <v>12</v>
      </c>
      <c r="E261" s="119">
        <v>0</v>
      </c>
      <c r="F261" s="120">
        <f t="shared" si="21"/>
        <v>0</v>
      </c>
      <c r="G261" s="121">
        <v>1200</v>
      </c>
      <c r="H261" s="121">
        <f t="shared" si="22"/>
        <v>0</v>
      </c>
      <c r="I261" s="121">
        <f t="shared" si="23"/>
        <v>0</v>
      </c>
      <c r="J261" s="237">
        <f t="shared" si="20"/>
        <v>0</v>
      </c>
    </row>
    <row r="262" spans="1:10" s="123" customFormat="1" ht="15" customHeight="1" hidden="1" outlineLevel="3">
      <c r="A262" s="102" t="s">
        <v>372</v>
      </c>
      <c r="B262" s="129" t="s">
        <v>370</v>
      </c>
      <c r="C262" s="120">
        <v>1</v>
      </c>
      <c r="D262" s="140">
        <v>12</v>
      </c>
      <c r="E262" s="119">
        <v>0</v>
      </c>
      <c r="F262" s="120">
        <f t="shared" si="21"/>
        <v>0</v>
      </c>
      <c r="G262" s="121">
        <v>34</v>
      </c>
      <c r="H262" s="121">
        <f t="shared" si="22"/>
        <v>0</v>
      </c>
      <c r="I262" s="121">
        <f t="shared" si="23"/>
        <v>0</v>
      </c>
      <c r="J262" s="237">
        <f t="shared" si="20"/>
        <v>0</v>
      </c>
    </row>
    <row r="263" spans="1:10" s="123" customFormat="1" ht="15" customHeight="1" hidden="1" outlineLevel="3">
      <c r="A263" s="102" t="s">
        <v>376</v>
      </c>
      <c r="B263" s="129" t="s">
        <v>370</v>
      </c>
      <c r="C263" s="120">
        <f>1/12</f>
        <v>0.08333333333333333</v>
      </c>
      <c r="D263" s="140">
        <v>12</v>
      </c>
      <c r="E263" s="119">
        <v>0</v>
      </c>
      <c r="F263" s="120">
        <f>C263*D263*E263</f>
        <v>0</v>
      </c>
      <c r="G263" s="121">
        <v>120</v>
      </c>
      <c r="H263" s="121">
        <f t="shared" si="22"/>
        <v>0</v>
      </c>
      <c r="I263" s="121">
        <f t="shared" si="23"/>
        <v>0</v>
      </c>
      <c r="J263" s="237">
        <f t="shared" si="20"/>
        <v>0</v>
      </c>
    </row>
    <row r="264" spans="1:10" s="123" customFormat="1" ht="15" customHeight="1" hidden="1" outlineLevel="3">
      <c r="A264" s="102" t="s">
        <v>374</v>
      </c>
      <c r="B264" s="129" t="s">
        <v>370</v>
      </c>
      <c r="C264" s="120">
        <f>4/12</f>
        <v>0.3333333333333333</v>
      </c>
      <c r="D264" s="140">
        <v>12</v>
      </c>
      <c r="E264" s="119">
        <v>0</v>
      </c>
      <c r="F264" s="120">
        <f t="shared" si="21"/>
        <v>0</v>
      </c>
      <c r="G264" s="121">
        <v>70</v>
      </c>
      <c r="H264" s="121">
        <f t="shared" si="22"/>
        <v>0</v>
      </c>
      <c r="I264" s="121">
        <f t="shared" si="23"/>
        <v>0</v>
      </c>
      <c r="J264" s="237">
        <f t="shared" si="20"/>
        <v>0</v>
      </c>
    </row>
    <row r="265" spans="1:10" s="123" customFormat="1" ht="15" customHeight="1" hidden="1" outlineLevel="3">
      <c r="A265" s="102" t="s">
        <v>383</v>
      </c>
      <c r="B265" s="129" t="s">
        <v>370</v>
      </c>
      <c r="C265" s="120">
        <f>1/12</f>
        <v>0.08333333333333333</v>
      </c>
      <c r="D265" s="140">
        <v>12</v>
      </c>
      <c r="E265" s="119">
        <v>0</v>
      </c>
      <c r="F265" s="120">
        <f t="shared" si="21"/>
        <v>0</v>
      </c>
      <c r="G265" s="121">
        <v>100</v>
      </c>
      <c r="H265" s="121">
        <f t="shared" si="22"/>
        <v>0</v>
      </c>
      <c r="I265" s="121">
        <f t="shared" si="23"/>
        <v>0</v>
      </c>
      <c r="J265" s="237">
        <f t="shared" si="20"/>
        <v>0</v>
      </c>
    </row>
    <row r="266" spans="1:10" s="123" customFormat="1" ht="15" customHeight="1" hidden="1" outlineLevel="3">
      <c r="A266" s="102" t="s">
        <v>375</v>
      </c>
      <c r="B266" s="129" t="s">
        <v>370</v>
      </c>
      <c r="C266" s="120">
        <f>1/12</f>
        <v>0.08333333333333333</v>
      </c>
      <c r="D266" s="140">
        <v>12</v>
      </c>
      <c r="E266" s="119">
        <v>0</v>
      </c>
      <c r="F266" s="120">
        <f t="shared" si="21"/>
        <v>0</v>
      </c>
      <c r="G266" s="121">
        <v>120</v>
      </c>
      <c r="H266" s="121">
        <f t="shared" si="22"/>
        <v>0</v>
      </c>
      <c r="I266" s="121">
        <f t="shared" si="23"/>
        <v>0</v>
      </c>
      <c r="J266" s="237">
        <f t="shared" si="20"/>
        <v>0</v>
      </c>
    </row>
    <row r="267" spans="1:10" s="123" customFormat="1" ht="15" customHeight="1" hidden="1" outlineLevel="3">
      <c r="A267" s="102" t="s">
        <v>486</v>
      </c>
      <c r="B267" s="129" t="s">
        <v>370</v>
      </c>
      <c r="C267" s="120">
        <f>1/12</f>
        <v>0.08333333333333333</v>
      </c>
      <c r="D267" s="140">
        <v>12</v>
      </c>
      <c r="E267" s="119">
        <v>0</v>
      </c>
      <c r="F267" s="120">
        <f t="shared" si="21"/>
        <v>0</v>
      </c>
      <c r="G267" s="121">
        <v>70</v>
      </c>
      <c r="H267" s="121">
        <f t="shared" si="22"/>
        <v>0</v>
      </c>
      <c r="I267" s="121">
        <f t="shared" si="23"/>
        <v>0</v>
      </c>
      <c r="J267" s="237">
        <f t="shared" si="20"/>
        <v>0</v>
      </c>
    </row>
    <row r="268" spans="1:10" s="103" customFormat="1" ht="15.75" customHeight="1" hidden="1" outlineLevel="3">
      <c r="A268" s="104" t="s">
        <v>377</v>
      </c>
      <c r="B268" s="129" t="s">
        <v>370</v>
      </c>
      <c r="C268" s="130">
        <f>2</f>
        <v>2</v>
      </c>
      <c r="D268" s="129">
        <v>12</v>
      </c>
      <c r="E268" s="119">
        <v>0</v>
      </c>
      <c r="F268" s="131">
        <f t="shared" si="21"/>
        <v>0</v>
      </c>
      <c r="G268" s="133">
        <v>10</v>
      </c>
      <c r="H268" s="132">
        <f>F268*G268</f>
        <v>0</v>
      </c>
      <c r="I268" s="121">
        <f t="shared" si="23"/>
        <v>0</v>
      </c>
      <c r="J268" s="237">
        <f t="shared" si="20"/>
        <v>0</v>
      </c>
    </row>
    <row r="269" spans="1:10" s="103" customFormat="1" ht="15.75" customHeight="1" hidden="1" outlineLevel="3">
      <c r="A269" s="104" t="s">
        <v>378</v>
      </c>
      <c r="B269" s="129" t="s">
        <v>370</v>
      </c>
      <c r="C269" s="130">
        <v>0.5</v>
      </c>
      <c r="D269" s="129">
        <v>12</v>
      </c>
      <c r="E269" s="119">
        <v>0</v>
      </c>
      <c r="F269" s="131">
        <f t="shared" si="21"/>
        <v>0</v>
      </c>
      <c r="G269" s="133">
        <v>18.2</v>
      </c>
      <c r="H269" s="132">
        <f>F269*G269</f>
        <v>0</v>
      </c>
      <c r="I269" s="121">
        <f t="shared" si="23"/>
        <v>0</v>
      </c>
      <c r="J269" s="237">
        <f t="shared" si="20"/>
        <v>0</v>
      </c>
    </row>
    <row r="270" spans="1:10" s="69" customFormat="1" ht="15" customHeight="1" hidden="1" outlineLevel="1">
      <c r="A270" s="135" t="s">
        <v>60</v>
      </c>
      <c r="B270" s="68" t="s">
        <v>364</v>
      </c>
      <c r="C270" s="124" t="s">
        <v>364</v>
      </c>
      <c r="D270" s="124" t="s">
        <v>364</v>
      </c>
      <c r="E270" s="124" t="s">
        <v>364</v>
      </c>
      <c r="F270" s="125" t="s">
        <v>364</v>
      </c>
      <c r="G270" s="125" t="s">
        <v>364</v>
      </c>
      <c r="H270" s="108">
        <f>SUM(H271:H277)</f>
        <v>0</v>
      </c>
      <c r="I270" s="108">
        <f>H270/12</f>
        <v>0</v>
      </c>
      <c r="J270" s="237">
        <f t="shared" si="20"/>
        <v>0</v>
      </c>
    </row>
    <row r="271" spans="1:10" s="123" customFormat="1" ht="15" customHeight="1" hidden="1" outlineLevel="3">
      <c r="A271" s="102" t="s">
        <v>487</v>
      </c>
      <c r="B271" s="120" t="s">
        <v>488</v>
      </c>
      <c r="C271" s="141">
        <v>6</v>
      </c>
      <c r="D271" s="140">
        <v>12</v>
      </c>
      <c r="E271" s="119">
        <v>0</v>
      </c>
      <c r="F271" s="120">
        <f>C271*D271*E271</f>
        <v>0</v>
      </c>
      <c r="G271" s="121">
        <v>25</v>
      </c>
      <c r="H271" s="121">
        <f>F271*G271</f>
        <v>0</v>
      </c>
      <c r="I271" s="121">
        <f>H271/12</f>
        <v>0</v>
      </c>
      <c r="J271" s="237">
        <f t="shared" si="20"/>
        <v>0</v>
      </c>
    </row>
    <row r="272" spans="1:10" s="123" customFormat="1" ht="15" customHeight="1" hidden="1" outlineLevel="3">
      <c r="A272" s="102" t="s">
        <v>489</v>
      </c>
      <c r="B272" s="120" t="s">
        <v>368</v>
      </c>
      <c r="C272" s="141">
        <v>0.02</v>
      </c>
      <c r="D272" s="140">
        <v>12</v>
      </c>
      <c r="E272" s="119">
        <v>0</v>
      </c>
      <c r="F272" s="120">
        <f aca="true" t="shared" si="24" ref="F272:F277">C272*D272*E272</f>
        <v>0</v>
      </c>
      <c r="G272" s="121">
        <v>70</v>
      </c>
      <c r="H272" s="121">
        <f aca="true" t="shared" si="25" ref="H272:H277">F272*G272</f>
        <v>0</v>
      </c>
      <c r="I272" s="121">
        <f aca="true" t="shared" si="26" ref="I272:I277">H272/12</f>
        <v>0</v>
      </c>
      <c r="J272" s="237">
        <f t="shared" si="20"/>
        <v>0</v>
      </c>
    </row>
    <row r="273" spans="1:10" s="123" customFormat="1" ht="15" customHeight="1" hidden="1" outlineLevel="3">
      <c r="A273" s="102" t="s">
        <v>490</v>
      </c>
      <c r="B273" s="120" t="s">
        <v>491</v>
      </c>
      <c r="C273" s="141">
        <v>0.015</v>
      </c>
      <c r="D273" s="140">
        <v>183</v>
      </c>
      <c r="E273" s="119">
        <v>0</v>
      </c>
      <c r="F273" s="120">
        <f t="shared" si="24"/>
        <v>0</v>
      </c>
      <c r="G273" s="121">
        <v>70</v>
      </c>
      <c r="H273" s="121">
        <f t="shared" si="25"/>
        <v>0</v>
      </c>
      <c r="I273" s="121">
        <f t="shared" si="26"/>
        <v>0</v>
      </c>
      <c r="J273" s="237">
        <f t="shared" si="20"/>
        <v>0</v>
      </c>
    </row>
    <row r="274" spans="1:10" s="123" customFormat="1" ht="15" customHeight="1" hidden="1" outlineLevel="3">
      <c r="A274" s="102" t="s">
        <v>492</v>
      </c>
      <c r="B274" s="120" t="s">
        <v>491</v>
      </c>
      <c r="C274" s="141">
        <v>0.02</v>
      </c>
      <c r="D274" s="140">
        <v>52</v>
      </c>
      <c r="E274" s="119">
        <v>0</v>
      </c>
      <c r="F274" s="120">
        <f t="shared" si="24"/>
        <v>0</v>
      </c>
      <c r="G274" s="121">
        <v>70</v>
      </c>
      <c r="H274" s="121">
        <f t="shared" si="25"/>
        <v>0</v>
      </c>
      <c r="I274" s="121">
        <f t="shared" si="26"/>
        <v>0</v>
      </c>
      <c r="J274" s="237">
        <f t="shared" si="20"/>
        <v>0</v>
      </c>
    </row>
    <row r="275" spans="1:10" s="123" customFormat="1" ht="15" customHeight="1" hidden="1" outlineLevel="3">
      <c r="A275" s="102" t="s">
        <v>493</v>
      </c>
      <c r="B275" s="120" t="s">
        <v>494</v>
      </c>
      <c r="C275" s="141">
        <f>1.5/100</f>
        <v>0.015</v>
      </c>
      <c r="D275" s="140">
        <v>12</v>
      </c>
      <c r="E275" s="119">
        <v>0</v>
      </c>
      <c r="F275" s="120">
        <f t="shared" si="24"/>
        <v>0</v>
      </c>
      <c r="G275" s="121">
        <v>70</v>
      </c>
      <c r="H275" s="121">
        <f t="shared" si="25"/>
        <v>0</v>
      </c>
      <c r="I275" s="121">
        <f t="shared" si="26"/>
        <v>0</v>
      </c>
      <c r="J275" s="237">
        <f t="shared" si="20"/>
        <v>0</v>
      </c>
    </row>
    <row r="276" spans="1:10" s="123" customFormat="1" ht="15" customHeight="1" hidden="1" outlineLevel="3">
      <c r="A276" s="102" t="s">
        <v>495</v>
      </c>
      <c r="B276" s="120" t="s">
        <v>494</v>
      </c>
      <c r="C276" s="141">
        <f>5.38/100</f>
        <v>0.0538</v>
      </c>
      <c r="D276" s="140">
        <v>12</v>
      </c>
      <c r="E276" s="119">
        <v>0</v>
      </c>
      <c r="F276" s="120">
        <f t="shared" si="24"/>
        <v>0</v>
      </c>
      <c r="G276" s="121">
        <v>30</v>
      </c>
      <c r="H276" s="121">
        <f t="shared" si="25"/>
        <v>0</v>
      </c>
      <c r="I276" s="121">
        <f t="shared" si="26"/>
        <v>0</v>
      </c>
      <c r="J276" s="237">
        <f t="shared" si="20"/>
        <v>0</v>
      </c>
    </row>
    <row r="277" spans="1:10" s="123" customFormat="1" ht="15" customHeight="1" hidden="1" outlineLevel="3">
      <c r="A277" s="102" t="s">
        <v>496</v>
      </c>
      <c r="B277" s="120" t="s">
        <v>497</v>
      </c>
      <c r="C277" s="141">
        <f>1/60</f>
        <v>0.016666666666666666</v>
      </c>
      <c r="D277" s="140">
        <v>12</v>
      </c>
      <c r="E277" s="119">
        <v>0</v>
      </c>
      <c r="F277" s="120">
        <f t="shared" si="24"/>
        <v>0</v>
      </c>
      <c r="G277" s="121">
        <v>7800</v>
      </c>
      <c r="H277" s="121">
        <f t="shared" si="25"/>
        <v>0</v>
      </c>
      <c r="I277" s="121">
        <f t="shared" si="26"/>
        <v>0</v>
      </c>
      <c r="J277" s="237">
        <f t="shared" si="20"/>
        <v>0</v>
      </c>
    </row>
    <row r="278" spans="1:10" s="69" customFormat="1" ht="15" customHeight="1" hidden="1" outlineLevel="1">
      <c r="A278" s="142" t="s">
        <v>498</v>
      </c>
      <c r="B278" s="115" t="s">
        <v>364</v>
      </c>
      <c r="C278" s="115" t="s">
        <v>364</v>
      </c>
      <c r="D278" s="143" t="s">
        <v>364</v>
      </c>
      <c r="E278" s="116" t="s">
        <v>364</v>
      </c>
      <c r="F278" s="115" t="s">
        <v>364</v>
      </c>
      <c r="G278" s="144" t="s">
        <v>364</v>
      </c>
      <c r="H278" s="116">
        <v>0</v>
      </c>
      <c r="I278" s="116">
        <f>H278/12</f>
        <v>0</v>
      </c>
      <c r="J278" s="238">
        <f t="shared" si="20"/>
        <v>0</v>
      </c>
    </row>
    <row r="279" spans="1:10" ht="31.5" collapsed="1" thickBot="1">
      <c r="A279" s="92" t="s">
        <v>289</v>
      </c>
      <c r="B279" s="93" t="s">
        <v>359</v>
      </c>
      <c r="C279" s="93" t="s">
        <v>360</v>
      </c>
      <c r="D279" s="93" t="s">
        <v>361</v>
      </c>
      <c r="E279" s="93" t="s">
        <v>329</v>
      </c>
      <c r="F279" s="93" t="s">
        <v>362</v>
      </c>
      <c r="G279" s="94" t="s">
        <v>363</v>
      </c>
      <c r="H279" s="95">
        <f>H280+H284+H285+H286+H287+H291</f>
        <v>5301.8483476992005</v>
      </c>
      <c r="I279" s="95">
        <f>H279/12</f>
        <v>441.8206956416</v>
      </c>
      <c r="J279" s="96">
        <f t="shared" si="20"/>
        <v>0.13279852589167418</v>
      </c>
    </row>
    <row r="280" spans="1:10" s="69" customFormat="1" ht="15" customHeight="1" hidden="1" outlineLevel="1">
      <c r="A280" s="98" t="s">
        <v>499</v>
      </c>
      <c r="B280" s="99" t="s">
        <v>500</v>
      </c>
      <c r="C280" s="99" t="s">
        <v>364</v>
      </c>
      <c r="D280" s="146" t="s">
        <v>364</v>
      </c>
      <c r="E280" s="99" t="s">
        <v>364</v>
      </c>
      <c r="F280" s="99">
        <f>SUM(F281:F283)</f>
        <v>62.108000000000004</v>
      </c>
      <c r="G280" s="100">
        <v>36.14</v>
      </c>
      <c r="H280" s="100">
        <f>F280*G280</f>
        <v>2244.5831200000002</v>
      </c>
      <c r="I280" s="100">
        <f>H280/12</f>
        <v>187.04859333333334</v>
      </c>
      <c r="J280" s="236">
        <f t="shared" si="20"/>
        <v>0.056221398657449156</v>
      </c>
    </row>
    <row r="281" spans="1:10" s="105" customFormat="1" ht="15" customHeight="1" hidden="1" outlineLevel="3">
      <c r="A281" s="136" t="s">
        <v>501</v>
      </c>
      <c r="B281" s="147" t="s">
        <v>502</v>
      </c>
      <c r="C281" s="147">
        <v>0.012</v>
      </c>
      <c r="D281" s="147">
        <v>1</v>
      </c>
      <c r="E281" s="112">
        <f>E12</f>
        <v>837</v>
      </c>
      <c r="F281" s="110">
        <f>C281*D281*E281</f>
        <v>10.044</v>
      </c>
      <c r="G281" s="111"/>
      <c r="H281" s="110"/>
      <c r="I281" s="148"/>
      <c r="J281" s="237">
        <f t="shared" si="20"/>
        <v>0</v>
      </c>
    </row>
    <row r="282" spans="1:10" s="105" customFormat="1" ht="15" customHeight="1" hidden="1" outlineLevel="3">
      <c r="A282" s="136" t="s">
        <v>503</v>
      </c>
      <c r="B282" s="147" t="s">
        <v>502</v>
      </c>
      <c r="C282" s="147">
        <v>0.012</v>
      </c>
      <c r="D282" s="147">
        <v>2</v>
      </c>
      <c r="E282" s="110">
        <f>E11</f>
        <v>837</v>
      </c>
      <c r="F282" s="110">
        <f>C282*D282*E282</f>
        <v>20.088</v>
      </c>
      <c r="G282" s="111"/>
      <c r="H282" s="148"/>
      <c r="I282" s="148"/>
      <c r="J282" s="237">
        <f t="shared" si="20"/>
        <v>0</v>
      </c>
    </row>
    <row r="283" spans="1:10" s="105" customFormat="1" ht="15" customHeight="1" hidden="1" outlineLevel="3">
      <c r="A283" s="136" t="s">
        <v>504</v>
      </c>
      <c r="B283" s="147" t="s">
        <v>379</v>
      </c>
      <c r="C283" s="147">
        <v>0.014</v>
      </c>
      <c r="D283" s="147">
        <v>2</v>
      </c>
      <c r="E283" s="110">
        <f>E19+E20</f>
        <v>1142</v>
      </c>
      <c r="F283" s="110">
        <f>C283*D283*E283</f>
        <v>31.976</v>
      </c>
      <c r="G283" s="111"/>
      <c r="H283" s="148"/>
      <c r="I283" s="148"/>
      <c r="J283" s="237">
        <f t="shared" si="20"/>
        <v>0</v>
      </c>
    </row>
    <row r="284" spans="1:10" s="69" customFormat="1" ht="15" customHeight="1" hidden="1" outlineLevel="1">
      <c r="A284" s="106" t="s">
        <v>365</v>
      </c>
      <c r="B284" s="68" t="s">
        <v>364</v>
      </c>
      <c r="C284" s="68" t="s">
        <v>364</v>
      </c>
      <c r="D284" s="68" t="s">
        <v>364</v>
      </c>
      <c r="E284" s="68" t="s">
        <v>364</v>
      </c>
      <c r="F284" s="68">
        <f>H280</f>
        <v>2244.5831200000002</v>
      </c>
      <c r="G284" s="107">
        <v>0.5</v>
      </c>
      <c r="H284" s="108">
        <f>F284*G284</f>
        <v>1122.2915600000001</v>
      </c>
      <c r="I284" s="108">
        <f aca="true" t="shared" si="27" ref="I284:I316">H284/12</f>
        <v>93.52429666666667</v>
      </c>
      <c r="J284" s="237">
        <f t="shared" si="20"/>
        <v>0.028110699328724578</v>
      </c>
    </row>
    <row r="285" spans="1:10" s="69" customFormat="1" ht="15" customHeight="1" hidden="1" outlineLevel="1">
      <c r="A285" s="106" t="s">
        <v>366</v>
      </c>
      <c r="B285" s="68" t="s">
        <v>364</v>
      </c>
      <c r="C285" s="68" t="s">
        <v>364</v>
      </c>
      <c r="D285" s="68" t="s">
        <v>364</v>
      </c>
      <c r="E285" s="68" t="s">
        <v>364</v>
      </c>
      <c r="F285" s="68">
        <f>(H280+H284)</f>
        <v>3366.8746800000004</v>
      </c>
      <c r="G285" s="107">
        <v>0.12</v>
      </c>
      <c r="H285" s="108">
        <f>F285*G285</f>
        <v>404.02496160000004</v>
      </c>
      <c r="I285" s="108">
        <f t="shared" si="27"/>
        <v>33.6687468</v>
      </c>
      <c r="J285" s="237">
        <f t="shared" si="20"/>
        <v>0.010119851758340848</v>
      </c>
    </row>
    <row r="286" spans="1:10" s="69" customFormat="1" ht="15" customHeight="1" hidden="1" outlineLevel="1">
      <c r="A286" s="106" t="s">
        <v>367</v>
      </c>
      <c r="B286" s="68" t="s">
        <v>364</v>
      </c>
      <c r="C286" s="68" t="s">
        <v>364</v>
      </c>
      <c r="D286" s="68" t="s">
        <v>364</v>
      </c>
      <c r="E286" s="68" t="s">
        <v>364</v>
      </c>
      <c r="F286" s="68">
        <f>(H280+H284+H285)</f>
        <v>3770.8996416000005</v>
      </c>
      <c r="G286" s="107">
        <v>0.262</v>
      </c>
      <c r="H286" s="108">
        <f>F286*G286</f>
        <v>987.9757060992001</v>
      </c>
      <c r="I286" s="108">
        <f t="shared" si="27"/>
        <v>82.3313088416</v>
      </c>
      <c r="J286" s="237">
        <f t="shared" si="20"/>
        <v>0.02474641083306282</v>
      </c>
    </row>
    <row r="287" spans="1:10" s="69" customFormat="1" ht="15" customHeight="1" hidden="1" outlineLevel="1" collapsed="1">
      <c r="A287" s="106" t="s">
        <v>60</v>
      </c>
      <c r="B287" s="68" t="s">
        <v>364</v>
      </c>
      <c r="C287" s="124" t="s">
        <v>364</v>
      </c>
      <c r="D287" s="124" t="s">
        <v>364</v>
      </c>
      <c r="E287" s="124" t="s">
        <v>364</v>
      </c>
      <c r="F287" s="68" t="s">
        <v>364</v>
      </c>
      <c r="G287" s="67" t="s">
        <v>364</v>
      </c>
      <c r="H287" s="108">
        <f>SUM(H288:H290)</f>
        <v>542.973</v>
      </c>
      <c r="I287" s="108">
        <f t="shared" si="27"/>
        <v>45.247749999999996</v>
      </c>
      <c r="J287" s="237">
        <f t="shared" si="20"/>
        <v>0.013600165314096782</v>
      </c>
    </row>
    <row r="288" spans="1:10" ht="15" customHeight="1" hidden="1" outlineLevel="2">
      <c r="A288" s="126" t="s">
        <v>505</v>
      </c>
      <c r="B288" s="120"/>
      <c r="C288" s="150">
        <v>0.0002</v>
      </c>
      <c r="D288" s="134">
        <v>2</v>
      </c>
      <c r="E288" s="120">
        <v>3755</v>
      </c>
      <c r="F288" s="120">
        <f>C288*D288*E288</f>
        <v>1.502</v>
      </c>
      <c r="G288" s="121">
        <v>120</v>
      </c>
      <c r="H288" s="121">
        <f>F288*G288</f>
        <v>180.24</v>
      </c>
      <c r="I288" s="121">
        <f t="shared" si="27"/>
        <v>15.020000000000001</v>
      </c>
      <c r="J288" s="237">
        <f t="shared" si="20"/>
        <v>0.004514577697625489</v>
      </c>
    </row>
    <row r="289" spans="1:10" ht="15" customHeight="1" hidden="1" outlineLevel="2">
      <c r="A289" s="126" t="s">
        <v>506</v>
      </c>
      <c r="B289" s="120"/>
      <c r="C289" s="150">
        <v>0.001</v>
      </c>
      <c r="D289" s="134">
        <v>2</v>
      </c>
      <c r="E289" s="120">
        <v>3755</v>
      </c>
      <c r="F289" s="120">
        <f>C289*D289*E289</f>
        <v>7.51</v>
      </c>
      <c r="G289" s="121">
        <v>23.3</v>
      </c>
      <c r="H289" s="121">
        <f>F289*G289</f>
        <v>174.983</v>
      </c>
      <c r="I289" s="121">
        <f t="shared" si="27"/>
        <v>14.581916666666666</v>
      </c>
      <c r="J289" s="237">
        <f t="shared" si="20"/>
        <v>0.004382902514778078</v>
      </c>
    </row>
    <row r="290" spans="1:10" ht="15" customHeight="1" hidden="1" outlineLevel="2">
      <c r="A290" s="126" t="s">
        <v>507</v>
      </c>
      <c r="B290" s="120"/>
      <c r="C290" s="150">
        <v>0.0001</v>
      </c>
      <c r="D290" s="134">
        <v>2</v>
      </c>
      <c r="E290" s="120">
        <v>3755</v>
      </c>
      <c r="F290" s="120">
        <f>C290*D290*E290</f>
        <v>0.751</v>
      </c>
      <c r="G290" s="121">
        <v>250</v>
      </c>
      <c r="H290" s="121">
        <f>F290*G290</f>
        <v>187.75</v>
      </c>
      <c r="I290" s="121">
        <f t="shared" si="27"/>
        <v>15.645833333333334</v>
      </c>
      <c r="J290" s="237">
        <f t="shared" si="20"/>
        <v>0.004702685101693217</v>
      </c>
    </row>
    <row r="291" spans="1:10" s="69" customFormat="1" ht="15" customHeight="1" hidden="1" outlineLevel="1">
      <c r="A291" s="106" t="s">
        <v>508</v>
      </c>
      <c r="B291" s="68" t="s">
        <v>364</v>
      </c>
      <c r="C291" s="124" t="s">
        <v>364</v>
      </c>
      <c r="D291" s="124" t="s">
        <v>364</v>
      </c>
      <c r="E291" s="124" t="s">
        <v>364</v>
      </c>
      <c r="F291" s="68" t="s">
        <v>364</v>
      </c>
      <c r="G291" s="67" t="s">
        <v>364</v>
      </c>
      <c r="H291" s="108">
        <v>0</v>
      </c>
      <c r="I291" s="108">
        <f t="shared" si="27"/>
        <v>0</v>
      </c>
      <c r="J291" s="237">
        <f t="shared" si="20"/>
        <v>0</v>
      </c>
    </row>
    <row r="292" spans="1:10" s="69" customFormat="1" ht="30" customHeight="1" collapsed="1" thickBot="1">
      <c r="A292" s="92" t="s">
        <v>531</v>
      </c>
      <c r="B292" s="93" t="s">
        <v>359</v>
      </c>
      <c r="C292" s="93" t="s">
        <v>360</v>
      </c>
      <c r="D292" s="93" t="s">
        <v>361</v>
      </c>
      <c r="E292" s="93" t="s">
        <v>329</v>
      </c>
      <c r="F292" s="93" t="s">
        <v>362</v>
      </c>
      <c r="G292" s="94" t="s">
        <v>363</v>
      </c>
      <c r="H292" s="95">
        <f>SUM(H293:H296)</f>
        <v>114473.24912641617</v>
      </c>
      <c r="I292" s="95">
        <f t="shared" si="27"/>
        <v>9539.437427201347</v>
      </c>
      <c r="J292" s="96">
        <f t="shared" si="20"/>
        <v>2.8672790583713095</v>
      </c>
    </row>
    <row r="293" spans="1:10" s="69" customFormat="1" ht="15" customHeight="1" hidden="1" outlineLevel="1">
      <c r="A293" s="106" t="s">
        <v>649</v>
      </c>
      <c r="B293" s="68" t="s">
        <v>364</v>
      </c>
      <c r="C293" s="68" t="s">
        <v>364</v>
      </c>
      <c r="D293" s="68" t="s">
        <v>364</v>
      </c>
      <c r="E293" s="68" t="s">
        <v>364</v>
      </c>
      <c r="F293" s="68">
        <f>H45+H70+H106+H156+H280</f>
        <v>127903.07164962699</v>
      </c>
      <c r="G293" s="107">
        <v>0.835</v>
      </c>
      <c r="H293" s="108">
        <f>F293*G293</f>
        <v>106799.06482743853</v>
      </c>
      <c r="I293" s="108">
        <f t="shared" si="27"/>
        <v>8899.92206895321</v>
      </c>
      <c r="J293" s="237">
        <f t="shared" si="20"/>
        <v>2.6750592332290983</v>
      </c>
    </row>
    <row r="294" spans="1:10" s="69" customFormat="1" ht="15" customHeight="1" hidden="1" outlineLevel="1">
      <c r="A294" s="106" t="s">
        <v>650</v>
      </c>
      <c r="B294" s="68" t="s">
        <v>364</v>
      </c>
      <c r="C294" s="68" t="s">
        <v>364</v>
      </c>
      <c r="D294" s="68" t="s">
        <v>364</v>
      </c>
      <c r="E294" s="68" t="s">
        <v>364</v>
      </c>
      <c r="F294" s="68">
        <f>F293</f>
        <v>127903.07164962699</v>
      </c>
      <c r="G294" s="107">
        <v>0.02</v>
      </c>
      <c r="H294" s="108">
        <f>F294*G294</f>
        <v>2558.0614329925397</v>
      </c>
      <c r="I294" s="108">
        <f t="shared" si="27"/>
        <v>213.17178608271163</v>
      </c>
      <c r="J294" s="237">
        <f t="shared" si="20"/>
        <v>0.06407327504740355</v>
      </c>
    </row>
    <row r="295" spans="1:10" s="69" customFormat="1" ht="15" customHeight="1" hidden="1" outlineLevel="1">
      <c r="A295" s="106" t="s">
        <v>651</v>
      </c>
      <c r="B295" s="68" t="s">
        <v>364</v>
      </c>
      <c r="C295" s="68" t="s">
        <v>364</v>
      </c>
      <c r="D295" s="68" t="s">
        <v>364</v>
      </c>
      <c r="E295" s="68" t="s">
        <v>364</v>
      </c>
      <c r="F295" s="68">
        <f>F294</f>
        <v>127903.07164962699</v>
      </c>
      <c r="G295" s="107">
        <v>0.02</v>
      </c>
      <c r="H295" s="108">
        <f>F295*G295</f>
        <v>2558.0614329925397</v>
      </c>
      <c r="I295" s="108">
        <f t="shared" si="27"/>
        <v>213.17178608271163</v>
      </c>
      <c r="J295" s="237">
        <f t="shared" si="20"/>
        <v>0.06407327504740355</v>
      </c>
    </row>
    <row r="296" spans="1:10" s="69" customFormat="1" ht="15" customHeight="1" hidden="1" outlineLevel="1">
      <c r="A296" s="114" t="s">
        <v>652</v>
      </c>
      <c r="B296" s="115" t="s">
        <v>364</v>
      </c>
      <c r="C296" s="115" t="s">
        <v>364</v>
      </c>
      <c r="D296" s="115" t="s">
        <v>364</v>
      </c>
      <c r="E296" s="115" t="s">
        <v>364</v>
      </c>
      <c r="F296" s="115">
        <f>F295</f>
        <v>127903.07164962699</v>
      </c>
      <c r="G296" s="293">
        <v>0.02</v>
      </c>
      <c r="H296" s="116">
        <f>F296*G296</f>
        <v>2558.0614329925397</v>
      </c>
      <c r="I296" s="116">
        <f t="shared" si="27"/>
        <v>213.17178608271163</v>
      </c>
      <c r="J296" s="238">
        <f t="shared" si="20"/>
        <v>0.06407327504740355</v>
      </c>
    </row>
    <row r="297" spans="1:10" s="69" customFormat="1" ht="31.5" collapsed="1" thickBot="1">
      <c r="A297" s="183" t="s">
        <v>286</v>
      </c>
      <c r="B297" s="184"/>
      <c r="C297" s="184"/>
      <c r="D297" s="184" t="s">
        <v>361</v>
      </c>
      <c r="E297" s="184" t="s">
        <v>329</v>
      </c>
      <c r="F297" s="184" t="s">
        <v>362</v>
      </c>
      <c r="G297" s="185" t="s">
        <v>363</v>
      </c>
      <c r="H297" s="186">
        <f>SUM(H298:H311)</f>
        <v>189665.88</v>
      </c>
      <c r="I297" s="186">
        <f t="shared" si="27"/>
        <v>15805.49</v>
      </c>
      <c r="J297" s="187">
        <f t="shared" si="20"/>
        <v>4.750673279230538</v>
      </c>
    </row>
    <row r="298" spans="1:10" s="69" customFormat="1" ht="15" customHeight="1">
      <c r="A298" s="98" t="s">
        <v>276</v>
      </c>
      <c r="B298" s="99" t="s">
        <v>364</v>
      </c>
      <c r="C298" s="99" t="s">
        <v>364</v>
      </c>
      <c r="D298" s="160">
        <v>12</v>
      </c>
      <c r="E298" s="99">
        <f>E9</f>
        <v>3327</v>
      </c>
      <c r="F298" s="99">
        <f>D298*E298</f>
        <v>39924</v>
      </c>
      <c r="G298" s="146">
        <v>0.44</v>
      </c>
      <c r="H298" s="100">
        <f>F298*G298</f>
        <v>17566.56</v>
      </c>
      <c r="I298" s="100">
        <f t="shared" si="27"/>
        <v>1463.88</v>
      </c>
      <c r="J298" s="236">
        <f t="shared" si="20"/>
        <v>0.44000000000000006</v>
      </c>
    </row>
    <row r="299" spans="1:10" s="69" customFormat="1" ht="15" customHeight="1">
      <c r="A299" s="106" t="s">
        <v>277</v>
      </c>
      <c r="B299" s="68" t="s">
        <v>364</v>
      </c>
      <c r="C299" s="68" t="s">
        <v>364</v>
      </c>
      <c r="D299" s="67">
        <v>12</v>
      </c>
      <c r="E299" s="68">
        <f>E11</f>
        <v>837</v>
      </c>
      <c r="F299" s="68">
        <f>D299*E299</f>
        <v>10044</v>
      </c>
      <c r="G299" s="139">
        <v>0</v>
      </c>
      <c r="H299" s="108">
        <f aca="true" t="shared" si="28" ref="H299:H311">F299*G299</f>
        <v>0</v>
      </c>
      <c r="I299" s="108">
        <f t="shared" si="27"/>
        <v>0</v>
      </c>
      <c r="J299" s="237">
        <f t="shared" si="20"/>
        <v>0</v>
      </c>
    </row>
    <row r="300" spans="1:10" s="69" customFormat="1" ht="15" customHeight="1">
      <c r="A300" s="106" t="s">
        <v>278</v>
      </c>
      <c r="B300" s="68" t="s">
        <v>364</v>
      </c>
      <c r="C300" s="68" t="s">
        <v>364</v>
      </c>
      <c r="D300" s="67">
        <v>1</v>
      </c>
      <c r="E300" s="68">
        <f>E11</f>
        <v>837</v>
      </c>
      <c r="F300" s="68">
        <f>D300*E300</f>
        <v>837</v>
      </c>
      <c r="G300" s="139">
        <v>3.12</v>
      </c>
      <c r="H300" s="108">
        <f>F300*G300</f>
        <v>2611.44</v>
      </c>
      <c r="I300" s="108">
        <f t="shared" si="27"/>
        <v>217.62</v>
      </c>
      <c r="J300" s="237">
        <f t="shared" si="20"/>
        <v>0.0654102795311091</v>
      </c>
    </row>
    <row r="301" spans="1:10" s="69" customFormat="1" ht="15" customHeight="1">
      <c r="A301" s="106" t="s">
        <v>285</v>
      </c>
      <c r="B301" s="68" t="s">
        <v>364</v>
      </c>
      <c r="C301" s="68" t="s">
        <v>364</v>
      </c>
      <c r="D301" s="67">
        <v>12</v>
      </c>
      <c r="E301" s="68">
        <f>E10</f>
        <v>70</v>
      </c>
      <c r="F301" s="68">
        <v>0</v>
      </c>
      <c r="G301" s="139">
        <v>25</v>
      </c>
      <c r="H301" s="108">
        <f t="shared" si="28"/>
        <v>0</v>
      </c>
      <c r="I301" s="108">
        <f t="shared" si="27"/>
        <v>0</v>
      </c>
      <c r="J301" s="237">
        <f aca="true" t="shared" si="29" ref="J301:J316">I301/$E$9</f>
        <v>0</v>
      </c>
    </row>
    <row r="302" spans="1:10" s="69" customFormat="1" ht="15" customHeight="1">
      <c r="A302" s="106" t="s">
        <v>290</v>
      </c>
      <c r="B302" s="68" t="s">
        <v>364</v>
      </c>
      <c r="C302" s="68">
        <v>2.2</v>
      </c>
      <c r="D302" s="67">
        <v>1</v>
      </c>
      <c r="E302" s="68">
        <f>E24</f>
        <v>170</v>
      </c>
      <c r="F302" s="68">
        <f>C302*E302</f>
        <v>374.00000000000006</v>
      </c>
      <c r="G302" s="139">
        <v>265.62</v>
      </c>
      <c r="H302" s="108">
        <f t="shared" si="28"/>
        <v>99341.88000000002</v>
      </c>
      <c r="I302" s="108">
        <f t="shared" si="27"/>
        <v>8278.490000000002</v>
      </c>
      <c r="J302" s="237">
        <f t="shared" si="29"/>
        <v>2.488274721971747</v>
      </c>
    </row>
    <row r="303" spans="1:10" s="69" customFormat="1" ht="15" customHeight="1">
      <c r="A303" s="106" t="s">
        <v>291</v>
      </c>
      <c r="B303" s="68" t="s">
        <v>364</v>
      </c>
      <c r="C303" s="68" t="s">
        <v>364</v>
      </c>
      <c r="D303" s="67">
        <v>12</v>
      </c>
      <c r="E303" s="68">
        <v>0</v>
      </c>
      <c r="F303" s="68">
        <f aca="true" t="shared" si="30" ref="F303:F311">D303*E303</f>
        <v>0</v>
      </c>
      <c r="G303" s="139">
        <f>216.11*1.18</f>
        <v>255.0098</v>
      </c>
      <c r="H303" s="108">
        <f t="shared" si="28"/>
        <v>0</v>
      </c>
      <c r="I303" s="108">
        <f t="shared" si="27"/>
        <v>0</v>
      </c>
      <c r="J303" s="237">
        <f t="shared" si="29"/>
        <v>0</v>
      </c>
    </row>
    <row r="304" spans="1:10" s="69" customFormat="1" ht="15" customHeight="1">
      <c r="A304" s="106" t="s">
        <v>297</v>
      </c>
      <c r="B304" s="68" t="s">
        <v>364</v>
      </c>
      <c r="C304" s="68" t="s">
        <v>364</v>
      </c>
      <c r="D304" s="67">
        <v>1</v>
      </c>
      <c r="E304" s="68">
        <f>E30</f>
        <v>140</v>
      </c>
      <c r="F304" s="68">
        <f>E304*D304</f>
        <v>140</v>
      </c>
      <c r="G304" s="139">
        <v>11</v>
      </c>
      <c r="H304" s="108">
        <f>F304*G304</f>
        <v>1540</v>
      </c>
      <c r="I304" s="108">
        <f t="shared" si="27"/>
        <v>128.33333333333334</v>
      </c>
      <c r="J304" s="237">
        <f t="shared" si="29"/>
        <v>0.03857328924957419</v>
      </c>
    </row>
    <row r="305" spans="1:10" s="69" customFormat="1" ht="15" customHeight="1">
      <c r="A305" s="106" t="s">
        <v>298</v>
      </c>
      <c r="B305" s="68" t="s">
        <v>364</v>
      </c>
      <c r="C305" s="68" t="s">
        <v>364</v>
      </c>
      <c r="D305" s="67">
        <v>4</v>
      </c>
      <c r="E305" s="68">
        <f>E31</f>
        <v>140</v>
      </c>
      <c r="F305" s="68">
        <f>E305*D305</f>
        <v>560</v>
      </c>
      <c r="G305" s="139">
        <v>19</v>
      </c>
      <c r="H305" s="108">
        <f>F305*G305</f>
        <v>10640</v>
      </c>
      <c r="I305" s="108">
        <f t="shared" si="27"/>
        <v>886.6666666666666</v>
      </c>
      <c r="J305" s="237">
        <f t="shared" si="29"/>
        <v>0.26650636208796713</v>
      </c>
    </row>
    <row r="306" spans="1:10" s="69" customFormat="1" ht="15" customHeight="1">
      <c r="A306" s="106" t="s">
        <v>279</v>
      </c>
      <c r="B306" s="68" t="s">
        <v>364</v>
      </c>
      <c r="C306" s="68" t="s">
        <v>364</v>
      </c>
      <c r="D306" s="67">
        <v>0</v>
      </c>
      <c r="E306" s="68">
        <v>70</v>
      </c>
      <c r="F306" s="68">
        <f t="shared" si="30"/>
        <v>0</v>
      </c>
      <c r="G306" s="139">
        <f>11.5+15.28</f>
        <v>26.78</v>
      </c>
      <c r="H306" s="108">
        <f t="shared" si="28"/>
        <v>0</v>
      </c>
      <c r="I306" s="108">
        <f t="shared" si="27"/>
        <v>0</v>
      </c>
      <c r="J306" s="237">
        <f t="shared" si="29"/>
        <v>0</v>
      </c>
    </row>
    <row r="307" spans="1:10" s="69" customFormat="1" ht="15" customHeight="1">
      <c r="A307" s="106" t="s">
        <v>295</v>
      </c>
      <c r="B307" s="68" t="s">
        <v>364</v>
      </c>
      <c r="C307" s="68" t="s">
        <v>364</v>
      </c>
      <c r="D307" s="67">
        <v>12</v>
      </c>
      <c r="E307" s="68">
        <v>300</v>
      </c>
      <c r="F307" s="68">
        <f t="shared" si="30"/>
        <v>3600</v>
      </c>
      <c r="G307" s="139">
        <v>2.77</v>
      </c>
      <c r="H307" s="108">
        <f t="shared" si="28"/>
        <v>9972</v>
      </c>
      <c r="I307" s="108">
        <f t="shared" si="27"/>
        <v>831</v>
      </c>
      <c r="J307" s="237">
        <f t="shared" si="29"/>
        <v>0.2497745716862038</v>
      </c>
    </row>
    <row r="308" spans="1:10" s="69" customFormat="1" ht="15" customHeight="1">
      <c r="A308" s="106" t="s">
        <v>296</v>
      </c>
      <c r="B308" s="68" t="s">
        <v>364</v>
      </c>
      <c r="C308" s="68" t="s">
        <v>364</v>
      </c>
      <c r="D308" s="67">
        <v>12</v>
      </c>
      <c r="E308" s="68">
        <v>300</v>
      </c>
      <c r="F308" s="68">
        <f t="shared" si="30"/>
        <v>3600</v>
      </c>
      <c r="G308" s="139">
        <v>1.28</v>
      </c>
      <c r="H308" s="108">
        <f t="shared" si="28"/>
        <v>4608</v>
      </c>
      <c r="I308" s="108">
        <f t="shared" si="27"/>
        <v>384</v>
      </c>
      <c r="J308" s="237">
        <f t="shared" si="29"/>
        <v>0.11541929666366095</v>
      </c>
    </row>
    <row r="309" spans="1:10" s="69" customFormat="1" ht="15" customHeight="1">
      <c r="A309" s="106" t="s">
        <v>293</v>
      </c>
      <c r="B309" s="68" t="s">
        <v>364</v>
      </c>
      <c r="C309" s="68" t="s">
        <v>364</v>
      </c>
      <c r="D309" s="67">
        <v>12</v>
      </c>
      <c r="E309" s="68">
        <f>IF(E34=0,E10,0)</f>
        <v>70</v>
      </c>
      <c r="F309" s="68">
        <f t="shared" si="30"/>
        <v>840</v>
      </c>
      <c r="G309" s="139">
        <v>51.65</v>
      </c>
      <c r="H309" s="108">
        <f t="shared" si="28"/>
        <v>43386</v>
      </c>
      <c r="I309" s="108">
        <f t="shared" si="27"/>
        <v>3615.5</v>
      </c>
      <c r="J309" s="237">
        <f t="shared" si="29"/>
        <v>1.0867147580402765</v>
      </c>
    </row>
    <row r="310" spans="1:10" s="69" customFormat="1" ht="15" customHeight="1">
      <c r="A310" s="106" t="s">
        <v>292</v>
      </c>
      <c r="B310" s="68" t="s">
        <v>364</v>
      </c>
      <c r="C310" s="68" t="s">
        <v>364</v>
      </c>
      <c r="D310" s="67">
        <v>0</v>
      </c>
      <c r="E310" s="68">
        <f>E10</f>
        <v>70</v>
      </c>
      <c r="F310" s="68">
        <f>D310*E310</f>
        <v>0</v>
      </c>
      <c r="G310" s="139">
        <f>51.65+4.6*1.07</f>
        <v>56.571999999999996</v>
      </c>
      <c r="H310" s="108">
        <f>F310*G310</f>
        <v>0</v>
      </c>
      <c r="I310" s="108">
        <f>H310/12</f>
        <v>0</v>
      </c>
      <c r="J310" s="237">
        <f t="shared" si="29"/>
        <v>0</v>
      </c>
    </row>
    <row r="311" spans="1:10" s="69" customFormat="1" ht="15" customHeight="1" thickBot="1">
      <c r="A311" s="106" t="s">
        <v>280</v>
      </c>
      <c r="B311" s="68" t="s">
        <v>364</v>
      </c>
      <c r="C311" s="68" t="s">
        <v>364</v>
      </c>
      <c r="D311" s="67">
        <v>12</v>
      </c>
      <c r="E311" s="68">
        <v>0</v>
      </c>
      <c r="F311" s="68">
        <f t="shared" si="30"/>
        <v>0</v>
      </c>
      <c r="G311" s="139">
        <v>0</v>
      </c>
      <c r="H311" s="108">
        <f t="shared" si="28"/>
        <v>0</v>
      </c>
      <c r="I311" s="108">
        <f t="shared" si="27"/>
        <v>0</v>
      </c>
      <c r="J311" s="237">
        <f t="shared" si="29"/>
        <v>0</v>
      </c>
    </row>
    <row r="312" spans="1:10" s="69" customFormat="1" ht="15" customHeight="1">
      <c r="A312" s="232" t="s">
        <v>283</v>
      </c>
      <c r="B312" s="233"/>
      <c r="C312" s="233"/>
      <c r="D312" s="233"/>
      <c r="E312" s="233"/>
      <c r="F312" s="233"/>
      <c r="G312" s="221"/>
      <c r="H312" s="240">
        <f>H297+H292+H279+H155+H105+H69+H44</f>
        <v>596680.9731806894</v>
      </c>
      <c r="I312" s="240">
        <f t="shared" si="27"/>
        <v>49723.414431724115</v>
      </c>
      <c r="J312" s="236">
        <f t="shared" si="29"/>
        <v>14.945420628711787</v>
      </c>
    </row>
    <row r="313" spans="1:10" s="69" customFormat="1" ht="15" customHeight="1">
      <c r="A313" s="183" t="s">
        <v>272</v>
      </c>
      <c r="B313" s="184"/>
      <c r="C313" s="184"/>
      <c r="D313" s="184"/>
      <c r="E313" s="184"/>
      <c r="F313" s="184"/>
      <c r="G313" s="185">
        <v>0.07</v>
      </c>
      <c r="H313" s="241">
        <f>H312*G313</f>
        <v>41767.66812264826</v>
      </c>
      <c r="I313" s="241">
        <f t="shared" si="27"/>
        <v>3480.6390102206883</v>
      </c>
      <c r="J313" s="237">
        <f t="shared" si="29"/>
        <v>1.046179444009825</v>
      </c>
    </row>
    <row r="314" spans="1:10" ht="15" customHeight="1">
      <c r="A314" s="183" t="s">
        <v>525</v>
      </c>
      <c r="B314" s="184"/>
      <c r="C314" s="184"/>
      <c r="D314" s="184">
        <v>12</v>
      </c>
      <c r="E314" s="184">
        <f>E9</f>
        <v>3327</v>
      </c>
      <c r="F314" s="184">
        <f>D314*E314</f>
        <v>39924</v>
      </c>
      <c r="G314" s="185">
        <v>2.71</v>
      </c>
      <c r="H314" s="241">
        <f>F314*G314</f>
        <v>108194.04</v>
      </c>
      <c r="I314" s="241">
        <f>H314/12</f>
        <v>9016.17</v>
      </c>
      <c r="J314" s="237">
        <f t="shared" si="29"/>
        <v>2.71</v>
      </c>
    </row>
    <row r="315" spans="1:10" s="69" customFormat="1" ht="15" customHeight="1">
      <c r="A315" s="183" t="s">
        <v>281</v>
      </c>
      <c r="B315" s="184"/>
      <c r="C315" s="184"/>
      <c r="D315" s="184">
        <v>12</v>
      </c>
      <c r="E315" s="184">
        <f>E9</f>
        <v>3327</v>
      </c>
      <c r="F315" s="184">
        <f>D315*E315</f>
        <v>39924</v>
      </c>
      <c r="G315" s="186">
        <v>19.28</v>
      </c>
      <c r="H315" s="241">
        <f>F315*G315</f>
        <v>769734.7200000001</v>
      </c>
      <c r="I315" s="241">
        <f>H315/12</f>
        <v>64144.560000000005</v>
      </c>
      <c r="J315" s="237">
        <f t="shared" si="29"/>
        <v>19.28</v>
      </c>
    </row>
    <row r="316" spans="1:10" s="69" customFormat="1" ht="15" customHeight="1" thickBot="1">
      <c r="A316" s="183" t="s">
        <v>284</v>
      </c>
      <c r="B316" s="184"/>
      <c r="C316" s="184"/>
      <c r="D316" s="184"/>
      <c r="E316" s="184"/>
      <c r="F316" s="184"/>
      <c r="G316" s="185">
        <v>0.03</v>
      </c>
      <c r="H316" s="241">
        <f>H315*G316</f>
        <v>23092.0416</v>
      </c>
      <c r="I316" s="241">
        <f t="shared" si="27"/>
        <v>1924.3368</v>
      </c>
      <c r="J316" s="237">
        <f t="shared" si="29"/>
        <v>0.5784</v>
      </c>
    </row>
    <row r="317" spans="1:10" ht="21.75" customHeight="1" thickBot="1">
      <c r="A317" s="437" t="s">
        <v>302</v>
      </c>
      <c r="B317" s="438"/>
      <c r="C317" s="438"/>
      <c r="D317" s="438"/>
      <c r="E317" s="438"/>
      <c r="F317" s="438"/>
      <c r="G317" s="438"/>
      <c r="H317" s="438"/>
      <c r="I317" s="438"/>
      <c r="J317" s="96">
        <f>J44+J69+J105+J279+J292+J297+J313+J314+J316</f>
        <v>19.28000007272161</v>
      </c>
    </row>
    <row r="318" spans="1:10" ht="21.75" customHeight="1">
      <c r="A318" s="222"/>
      <c r="B318" s="222"/>
      <c r="C318" s="222"/>
      <c r="D318" s="222"/>
      <c r="E318" s="222"/>
      <c r="F318" s="222"/>
      <c r="G318" s="222"/>
      <c r="H318" s="222"/>
      <c r="I318" s="222"/>
      <c r="J318" s="186"/>
    </row>
    <row r="319" spans="1:10" ht="15" customHeight="1">
      <c r="A319" s="165" t="s">
        <v>509</v>
      </c>
      <c r="B319" s="166"/>
      <c r="C319" s="166"/>
      <c r="D319" s="166"/>
      <c r="E319" s="167"/>
      <c r="F319" s="167"/>
      <c r="G319" s="166"/>
      <c r="H319" s="168"/>
      <c r="I319" s="169" t="s">
        <v>510</v>
      </c>
      <c r="J319" s="72"/>
    </row>
    <row r="320" spans="1:10" ht="15" customHeight="1">
      <c r="A320" s="170"/>
      <c r="B320" s="166"/>
      <c r="C320" s="166"/>
      <c r="D320" s="166"/>
      <c r="E320" s="167"/>
      <c r="F320" s="167"/>
      <c r="G320" s="166"/>
      <c r="H320" s="171">
        <v>40664</v>
      </c>
      <c r="I320" s="169"/>
      <c r="J320" s="72"/>
    </row>
    <row r="321" spans="1:10" ht="15" customHeight="1">
      <c r="A321" s="170"/>
      <c r="B321" s="166"/>
      <c r="C321" s="166"/>
      <c r="D321" s="166"/>
      <c r="E321" s="167"/>
      <c r="F321" s="167"/>
      <c r="G321" s="166"/>
      <c r="H321" s="171"/>
      <c r="I321" s="169"/>
      <c r="J321" s="72"/>
    </row>
    <row r="322" spans="1:10" ht="15" customHeight="1">
      <c r="A322" s="170"/>
      <c r="B322" s="166"/>
      <c r="C322" s="166"/>
      <c r="D322" s="166"/>
      <c r="E322" s="167"/>
      <c r="F322" s="167"/>
      <c r="G322" s="166"/>
      <c r="H322" s="171"/>
      <c r="I322" s="169"/>
      <c r="J322" s="72"/>
    </row>
    <row r="323" spans="1:9" s="69" customFormat="1" ht="15" customHeight="1">
      <c r="A323" s="70" t="s">
        <v>511</v>
      </c>
      <c r="B323" s="67"/>
      <c r="C323" s="67"/>
      <c r="D323" s="67"/>
      <c r="E323" s="68"/>
      <c r="F323" s="68"/>
      <c r="G323" s="67"/>
      <c r="H323" s="108">
        <f>H315-H312-H313-H314-H316</f>
        <v>-0.0029033375503786374</v>
      </c>
      <c r="I323" s="108">
        <f>H323/12</f>
        <v>-0.00024194479586488646</v>
      </c>
    </row>
  </sheetData>
  <mergeCells count="7">
    <mergeCell ref="B7:C7"/>
    <mergeCell ref="A43:F43"/>
    <mergeCell ref="A317:I317"/>
    <mergeCell ref="G1:J1"/>
    <mergeCell ref="G2:J2"/>
    <mergeCell ref="G3:J3"/>
    <mergeCell ref="A6:I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5"/>
  <sheetViews>
    <sheetView workbookViewId="0" topLeftCell="A1">
      <selection activeCell="R73" sqref="R73"/>
    </sheetView>
  </sheetViews>
  <sheetFormatPr defaultColWidth="9.00390625" defaultRowHeight="15" customHeight="1" outlineLevelRow="2" outlineLevelCol="1"/>
  <cols>
    <col min="1" max="1" width="68.50390625" style="72" customWidth="1" collapsed="1"/>
    <col min="2" max="4" width="12.625" style="163" hidden="1" customWidth="1" outlineLevel="1"/>
    <col min="5" max="5" width="12.625" style="128" hidden="1" customWidth="1" outlineLevel="1"/>
    <col min="6" max="6" width="14.50390625" style="128" hidden="1" customWidth="1" outlineLevel="1"/>
    <col min="7" max="7" width="14.50390625" style="163" hidden="1" customWidth="1" outlineLevel="1"/>
    <col min="8" max="8" width="14.50390625" style="164" customWidth="1" collapsed="1"/>
    <col min="9" max="9" width="14.50390625" style="164" customWidth="1"/>
    <col min="10" max="10" width="14.50390625" style="69" hidden="1" customWidth="1"/>
    <col min="11" max="11" width="14.50390625" style="245" hidden="1" customWidth="1"/>
    <col min="12" max="12" width="14.50390625" style="69" customWidth="1"/>
    <col min="13" max="13" width="14.50390625" style="245" hidden="1" customWidth="1"/>
    <col min="14" max="14" width="13.00390625" style="69" customWidth="1"/>
    <col min="15" max="15" width="13.00390625" style="245" hidden="1" customWidth="1"/>
    <col min="16" max="16" width="13.00390625" style="69" customWidth="1"/>
    <col min="17" max="16384" width="9.125" style="72" customWidth="1"/>
  </cols>
  <sheetData>
    <row r="1" spans="1:16" ht="18" customHeight="1">
      <c r="A1" s="441" t="s">
        <v>532</v>
      </c>
      <c r="B1" s="442"/>
      <c r="C1" s="442"/>
      <c r="D1" s="442"/>
      <c r="E1" s="442"/>
      <c r="F1" s="442"/>
      <c r="G1" s="442"/>
      <c r="H1" s="442"/>
      <c r="I1" s="442"/>
      <c r="J1" s="242"/>
      <c r="K1" s="243"/>
      <c r="L1" s="243" t="s">
        <v>533</v>
      </c>
      <c r="M1" s="243"/>
      <c r="N1" s="243" t="s">
        <v>534</v>
      </c>
      <c r="O1" s="243"/>
      <c r="P1" s="243" t="s">
        <v>535</v>
      </c>
    </row>
    <row r="2" spans="1:16" s="69" customFormat="1" ht="15" customHeight="1" hidden="1" outlineLevel="1" thickBot="1">
      <c r="A2" s="244" t="s">
        <v>328</v>
      </c>
      <c r="B2" s="420"/>
      <c r="C2" s="420"/>
      <c r="D2" s="73"/>
      <c r="E2" s="74" t="s">
        <v>329</v>
      </c>
      <c r="F2" s="74"/>
      <c r="G2" s="75"/>
      <c r="H2" s="62" t="s">
        <v>288</v>
      </c>
      <c r="I2" s="71" t="s">
        <v>330</v>
      </c>
      <c r="K2" s="245" t="s">
        <v>536</v>
      </c>
      <c r="L2" s="69" t="s">
        <v>363</v>
      </c>
      <c r="M2" s="245" t="s">
        <v>536</v>
      </c>
      <c r="N2" s="69" t="s">
        <v>363</v>
      </c>
      <c r="O2" s="245" t="s">
        <v>536</v>
      </c>
      <c r="P2" s="69" t="s">
        <v>363</v>
      </c>
    </row>
    <row r="3" spans="1:15" s="69" customFormat="1" ht="15" customHeight="1" hidden="1" outlineLevel="1">
      <c r="A3" s="76" t="s">
        <v>331</v>
      </c>
      <c r="B3" s="77">
        <v>2010</v>
      </c>
      <c r="C3" s="77">
        <v>2011</v>
      </c>
      <c r="D3" s="77"/>
      <c r="E3" s="78">
        <f>C3-B3</f>
        <v>1</v>
      </c>
      <c r="F3" s="78"/>
      <c r="G3" s="78"/>
      <c r="H3" s="79"/>
      <c r="I3" s="80"/>
      <c r="K3" s="245"/>
      <c r="M3" s="245"/>
      <c r="O3" s="245"/>
    </row>
    <row r="4" spans="1:15" s="69" customFormat="1" ht="15" customHeight="1" hidden="1" outlineLevel="1">
      <c r="A4" s="81" t="s">
        <v>537</v>
      </c>
      <c r="B4" s="82"/>
      <c r="C4" s="82"/>
      <c r="D4" s="82"/>
      <c r="E4" s="82">
        <f>3469.3+5846.1</f>
        <v>9315.400000000001</v>
      </c>
      <c r="F4" s="82"/>
      <c r="G4" s="83"/>
      <c r="H4" s="84"/>
      <c r="I4" s="85"/>
      <c r="K4" s="245"/>
      <c r="M4" s="245"/>
      <c r="O4" s="245"/>
    </row>
    <row r="5" spans="1:15" s="69" customFormat="1" ht="15" customHeight="1" hidden="1" outlineLevel="1">
      <c r="A5" s="81" t="s">
        <v>538</v>
      </c>
      <c r="B5" s="82"/>
      <c r="C5" s="82"/>
      <c r="D5" s="82"/>
      <c r="E5" s="82">
        <v>111.7</v>
      </c>
      <c r="F5" s="82"/>
      <c r="G5" s="83"/>
      <c r="H5" s="84"/>
      <c r="I5" s="85"/>
      <c r="K5" s="245"/>
      <c r="M5" s="245"/>
      <c r="O5" s="245"/>
    </row>
    <row r="6" spans="1:15" s="69" customFormat="1" ht="15" customHeight="1" hidden="1" outlineLevel="1">
      <c r="A6" s="81" t="s">
        <v>25</v>
      </c>
      <c r="B6" s="82"/>
      <c r="C6" s="82"/>
      <c r="D6" s="82"/>
      <c r="E6" s="82">
        <v>153</v>
      </c>
      <c r="F6" s="82"/>
      <c r="G6" s="83"/>
      <c r="H6" s="84"/>
      <c r="I6" s="85"/>
      <c r="K6" s="245"/>
      <c r="M6" s="245"/>
      <c r="O6" s="245"/>
    </row>
    <row r="7" spans="1:15" s="69" customFormat="1" ht="15" customHeight="1" hidden="1" outlineLevel="1">
      <c r="A7" s="81" t="s">
        <v>333</v>
      </c>
      <c r="B7" s="82"/>
      <c r="C7" s="82"/>
      <c r="D7" s="82"/>
      <c r="E7" s="82">
        <f>601.4+1248.9</f>
        <v>1850.3000000000002</v>
      </c>
      <c r="F7" s="82"/>
      <c r="G7" s="83"/>
      <c r="H7" s="84"/>
      <c r="I7" s="85"/>
      <c r="K7" s="245"/>
      <c r="M7" s="245"/>
      <c r="O7" s="245"/>
    </row>
    <row r="8" spans="1:15" s="69" customFormat="1" ht="15" customHeight="1" hidden="1" outlineLevel="1">
      <c r="A8" s="81" t="s">
        <v>334</v>
      </c>
      <c r="B8" s="82"/>
      <c r="C8" s="82"/>
      <c r="D8" s="82"/>
      <c r="E8" s="82">
        <v>0</v>
      </c>
      <c r="F8" s="82"/>
      <c r="G8" s="83"/>
      <c r="H8" s="84"/>
      <c r="I8" s="85"/>
      <c r="K8" s="245"/>
      <c r="M8" s="245"/>
      <c r="O8" s="245"/>
    </row>
    <row r="9" spans="1:15" s="69" customFormat="1" ht="15" customHeight="1" hidden="1" outlineLevel="1">
      <c r="A9" s="81" t="s">
        <v>335</v>
      </c>
      <c r="B9" s="82"/>
      <c r="C9" s="82"/>
      <c r="D9" s="82"/>
      <c r="E9" s="82">
        <f>15155+22927</f>
        <v>38082</v>
      </c>
      <c r="F9" s="82"/>
      <c r="G9" s="83"/>
      <c r="H9" s="84"/>
      <c r="I9" s="85"/>
      <c r="K9" s="245"/>
      <c r="M9" s="245"/>
      <c r="O9" s="245"/>
    </row>
    <row r="10" spans="1:15" s="69" customFormat="1" ht="15" customHeight="1" hidden="1" outlineLevel="1">
      <c r="A10" s="81" t="s">
        <v>336</v>
      </c>
      <c r="B10" s="82"/>
      <c r="C10" s="82"/>
      <c r="D10" s="82"/>
      <c r="E10" s="82">
        <v>1</v>
      </c>
      <c r="F10" s="82"/>
      <c r="G10" s="83"/>
      <c r="H10" s="84"/>
      <c r="I10" s="85"/>
      <c r="K10" s="245"/>
      <c r="M10" s="245"/>
      <c r="O10" s="245"/>
    </row>
    <row r="11" spans="1:15" s="69" customFormat="1" ht="15" customHeight="1" hidden="1" outlineLevel="1">
      <c r="A11" s="81" t="s">
        <v>337</v>
      </c>
      <c r="B11" s="82"/>
      <c r="C11" s="82"/>
      <c r="D11" s="82"/>
      <c r="E11" s="82">
        <f>639.7+572.3</f>
        <v>1212</v>
      </c>
      <c r="F11" s="82"/>
      <c r="G11" s="83"/>
      <c r="H11" s="84"/>
      <c r="I11" s="85"/>
      <c r="K11" s="245"/>
      <c r="M11" s="245"/>
      <c r="O11" s="245"/>
    </row>
    <row r="12" spans="1:9" ht="15" customHeight="1" hidden="1" outlineLevel="1">
      <c r="A12" s="81" t="s">
        <v>539</v>
      </c>
      <c r="B12" s="82"/>
      <c r="C12" s="82"/>
      <c r="D12" s="82"/>
      <c r="E12" s="82">
        <f>147.2</f>
        <v>147.2</v>
      </c>
      <c r="F12" s="82"/>
      <c r="G12" s="83"/>
      <c r="H12" s="84"/>
      <c r="I12" s="85"/>
    </row>
    <row r="13" spans="1:9" ht="15" customHeight="1" hidden="1" outlineLevel="1">
      <c r="A13" s="81" t="s">
        <v>338</v>
      </c>
      <c r="B13" s="82"/>
      <c r="C13" s="82"/>
      <c r="D13" s="82"/>
      <c r="E13" s="82">
        <f>2765+207+573</f>
        <v>3545</v>
      </c>
      <c r="F13" s="82"/>
      <c r="G13" s="83"/>
      <c r="H13" s="84"/>
      <c r="I13" s="85"/>
    </row>
    <row r="14" spans="1:9" ht="15" customHeight="1" hidden="1" outlineLevel="1">
      <c r="A14" s="81" t="s">
        <v>339</v>
      </c>
      <c r="B14" s="82"/>
      <c r="C14" s="82"/>
      <c r="D14" s="82"/>
      <c r="E14" s="82">
        <v>0</v>
      </c>
      <c r="F14" s="82"/>
      <c r="G14" s="83"/>
      <c r="H14" s="84"/>
      <c r="I14" s="85"/>
    </row>
    <row r="15" spans="1:9" ht="15" customHeight="1" hidden="1" outlineLevel="1">
      <c r="A15" s="81" t="s">
        <v>340</v>
      </c>
      <c r="B15" s="82"/>
      <c r="C15" s="82"/>
      <c r="D15" s="82"/>
      <c r="E15" s="82">
        <v>0</v>
      </c>
      <c r="F15" s="82"/>
      <c r="G15" s="83"/>
      <c r="H15" s="84"/>
      <c r="I15" s="85"/>
    </row>
    <row r="16" spans="1:9" ht="15" customHeight="1" hidden="1" outlineLevel="1">
      <c r="A16" s="81" t="s">
        <v>341</v>
      </c>
      <c r="B16" s="82"/>
      <c r="C16" s="82"/>
      <c r="D16" s="82"/>
      <c r="E16" s="82">
        <v>718</v>
      </c>
      <c r="F16" s="82"/>
      <c r="G16" s="83"/>
      <c r="H16" s="84"/>
      <c r="I16" s="85"/>
    </row>
    <row r="17" spans="1:9" ht="15" customHeight="1" hidden="1" outlineLevel="1">
      <c r="A17" s="81" t="s">
        <v>342</v>
      </c>
      <c r="B17" s="82"/>
      <c r="C17" s="82"/>
      <c r="D17" s="82"/>
      <c r="E17" s="82">
        <v>0</v>
      </c>
      <c r="F17" s="82"/>
      <c r="G17" s="83"/>
      <c r="H17" s="84"/>
      <c r="I17" s="85"/>
    </row>
    <row r="18" spans="1:9" ht="15" customHeight="1" hidden="1" outlineLevel="1">
      <c r="A18" s="81" t="s">
        <v>343</v>
      </c>
      <c r="B18" s="82"/>
      <c r="C18" s="82"/>
      <c r="D18" s="82"/>
      <c r="E18" s="82">
        <v>42</v>
      </c>
      <c r="F18" s="82"/>
      <c r="G18" s="83"/>
      <c r="H18" s="84"/>
      <c r="I18" s="85"/>
    </row>
    <row r="19" spans="1:9" ht="15" customHeight="1" hidden="1" outlineLevel="1">
      <c r="A19" s="81" t="s">
        <v>344</v>
      </c>
      <c r="B19" s="82"/>
      <c r="C19" s="82"/>
      <c r="D19" s="82"/>
      <c r="E19" s="82">
        <f>601.4+1248.9</f>
        <v>1850.3000000000002</v>
      </c>
      <c r="F19" s="82"/>
      <c r="G19" s="83"/>
      <c r="H19" s="84"/>
      <c r="I19" s="85"/>
    </row>
    <row r="20" spans="1:9" ht="15" customHeight="1" hidden="1" outlineLevel="1">
      <c r="A20" s="81" t="s">
        <v>345</v>
      </c>
      <c r="B20" s="82"/>
      <c r="C20" s="82"/>
      <c r="D20" s="82"/>
      <c r="E20" s="82">
        <v>1</v>
      </c>
      <c r="F20" s="82"/>
      <c r="G20" s="83"/>
      <c r="H20" s="84"/>
      <c r="I20" s="85"/>
    </row>
    <row r="21" spans="1:9" ht="15" customHeight="1" hidden="1" outlineLevel="1">
      <c r="A21" s="81" t="s">
        <v>346</v>
      </c>
      <c r="B21" s="82"/>
      <c r="C21" s="82"/>
      <c r="D21" s="82"/>
      <c r="E21" s="82">
        <v>0</v>
      </c>
      <c r="F21" s="82"/>
      <c r="G21" s="83"/>
      <c r="H21" s="84"/>
      <c r="I21" s="85"/>
    </row>
    <row r="22" spans="1:9" ht="15" customHeight="1" hidden="1" outlineLevel="1">
      <c r="A22" s="81" t="s">
        <v>347</v>
      </c>
      <c r="B22" s="82"/>
      <c r="C22" s="82"/>
      <c r="D22" s="82"/>
      <c r="E22" s="82">
        <v>6</v>
      </c>
      <c r="F22" s="82"/>
      <c r="G22" s="83"/>
      <c r="H22" s="84"/>
      <c r="I22" s="85"/>
    </row>
    <row r="23" spans="1:9" ht="15" customHeight="1" hidden="1" outlineLevel="1">
      <c r="A23" s="81" t="s">
        <v>348</v>
      </c>
      <c r="B23" s="82"/>
      <c r="C23" s="82"/>
      <c r="D23" s="82"/>
      <c r="E23" s="82">
        <v>3</v>
      </c>
      <c r="F23" s="82"/>
      <c r="G23" s="83"/>
      <c r="H23" s="84"/>
      <c r="I23" s="85"/>
    </row>
    <row r="24" spans="1:9" ht="15" customHeight="1" hidden="1" outlineLevel="1">
      <c r="A24" s="81" t="s">
        <v>349</v>
      </c>
      <c r="B24" s="82"/>
      <c r="C24" s="82"/>
      <c r="D24" s="82"/>
      <c r="E24" s="82">
        <v>153</v>
      </c>
      <c r="F24" s="82"/>
      <c r="G24" s="83"/>
      <c r="H24" s="84"/>
      <c r="I24" s="85"/>
    </row>
    <row r="25" spans="1:9" ht="15" customHeight="1" hidden="1" outlineLevel="1">
      <c r="A25" s="81" t="s">
        <v>31</v>
      </c>
      <c r="B25" s="82"/>
      <c r="C25" s="82"/>
      <c r="D25" s="82"/>
      <c r="E25" s="82">
        <v>4</v>
      </c>
      <c r="F25" s="82"/>
      <c r="G25" s="83"/>
      <c r="H25" s="84"/>
      <c r="I25" s="85"/>
    </row>
    <row r="26" spans="1:9" ht="15" customHeight="1" hidden="1" outlineLevel="1">
      <c r="A26" s="81" t="s">
        <v>350</v>
      </c>
      <c r="B26" s="82"/>
      <c r="C26" s="82"/>
      <c r="D26" s="82"/>
      <c r="E26" s="82">
        <f>E11</f>
        <v>1212</v>
      </c>
      <c r="F26" s="82"/>
      <c r="G26" s="83"/>
      <c r="H26" s="84"/>
      <c r="I26" s="85"/>
    </row>
    <row r="27" spans="1:9" ht="15" customHeight="1" hidden="1" outlineLevel="1">
      <c r="A27" s="81" t="s">
        <v>351</v>
      </c>
      <c r="B27" s="82"/>
      <c r="C27" s="82"/>
      <c r="D27" s="82"/>
      <c r="E27" s="82">
        <f>E6*2</f>
        <v>306</v>
      </c>
      <c r="F27" s="82"/>
      <c r="G27" s="83"/>
      <c r="H27" s="84"/>
      <c r="I27" s="85"/>
    </row>
    <row r="28" spans="1:9" ht="15" customHeight="1" hidden="1" outlineLevel="1">
      <c r="A28" s="81" t="s">
        <v>352</v>
      </c>
      <c r="B28" s="82"/>
      <c r="C28" s="82"/>
      <c r="D28" s="82"/>
      <c r="E28" s="82">
        <v>0</v>
      </c>
      <c r="F28" s="82"/>
      <c r="G28" s="83"/>
      <c r="H28" s="84"/>
      <c r="I28" s="85"/>
    </row>
    <row r="29" spans="1:9" ht="15" customHeight="1" hidden="1" outlineLevel="1">
      <c r="A29" s="81" t="s">
        <v>353</v>
      </c>
      <c r="B29" s="82"/>
      <c r="C29" s="82"/>
      <c r="D29" s="82"/>
      <c r="E29" s="82"/>
      <c r="F29" s="82"/>
      <c r="G29" s="83"/>
      <c r="H29" s="84"/>
      <c r="I29" s="85"/>
    </row>
    <row r="30" spans="1:9" ht="15" customHeight="1" hidden="1" outlineLevel="1" thickBot="1">
      <c r="A30" s="81" t="s">
        <v>354</v>
      </c>
      <c r="B30" s="82"/>
      <c r="C30" s="82"/>
      <c r="D30" s="82"/>
      <c r="E30" s="82"/>
      <c r="F30" s="82"/>
      <c r="G30" s="83"/>
      <c r="H30" s="84"/>
      <c r="I30" s="85"/>
    </row>
    <row r="31" spans="1:9" ht="15" customHeight="1" hidden="1" outlineLevel="1">
      <c r="A31" s="76" t="s">
        <v>355</v>
      </c>
      <c r="B31" s="77" t="s">
        <v>540</v>
      </c>
      <c r="C31" s="77" t="s">
        <v>541</v>
      </c>
      <c r="D31" s="77" t="s">
        <v>542</v>
      </c>
      <c r="E31" s="77" t="s">
        <v>543</v>
      </c>
      <c r="F31" s="77"/>
      <c r="G31" s="78"/>
      <c r="H31" s="79"/>
      <c r="I31" s="80"/>
    </row>
    <row r="32" spans="1:9" ht="15" customHeight="1" hidden="1" outlineLevel="1">
      <c r="A32" s="81" t="s">
        <v>544</v>
      </c>
      <c r="B32" s="82">
        <v>3832.53</v>
      </c>
      <c r="C32" s="82">
        <v>4479</v>
      </c>
      <c r="D32" s="82">
        <v>9.5</v>
      </c>
      <c r="E32" s="246">
        <f>(C32-B32)/D32</f>
        <v>68.04947368421051</v>
      </c>
      <c r="F32" s="82"/>
      <c r="G32" s="83"/>
      <c r="H32" s="84"/>
      <c r="I32" s="85"/>
    </row>
    <row r="33" spans="1:9" ht="15" customHeight="1" hidden="1" outlineLevel="1">
      <c r="A33" s="81" t="s">
        <v>545</v>
      </c>
      <c r="B33" s="82">
        <v>1830.77</v>
      </c>
      <c r="C33" s="82">
        <v>2025</v>
      </c>
      <c r="D33" s="82">
        <v>9.5</v>
      </c>
      <c r="E33" s="246">
        <f aca="true" t="shared" si="0" ref="E33:E39">(C33-B33)/D33</f>
        <v>20.44526315789474</v>
      </c>
      <c r="F33" s="82"/>
      <c r="G33" s="83"/>
      <c r="H33" s="84"/>
      <c r="I33" s="85"/>
    </row>
    <row r="34" spans="1:9" ht="15" customHeight="1" hidden="1" outlineLevel="1">
      <c r="A34" s="81" t="s">
        <v>546</v>
      </c>
      <c r="B34" s="82">
        <v>293.17</v>
      </c>
      <c r="C34" s="82">
        <v>1908</v>
      </c>
      <c r="D34" s="82">
        <v>9.5</v>
      </c>
      <c r="E34" s="246">
        <f t="shared" si="0"/>
        <v>169.98210526315788</v>
      </c>
      <c r="F34" s="82"/>
      <c r="G34" s="83"/>
      <c r="H34" s="84"/>
      <c r="I34" s="85"/>
    </row>
    <row r="35" spans="1:9" ht="15" customHeight="1" hidden="1" outlineLevel="1">
      <c r="A35" s="81" t="s">
        <v>547</v>
      </c>
      <c r="B35" s="82">
        <v>113.96</v>
      </c>
      <c r="C35" s="82">
        <v>622</v>
      </c>
      <c r="D35" s="82">
        <v>9.5</v>
      </c>
      <c r="E35" s="246">
        <f t="shared" si="0"/>
        <v>53.47789473684211</v>
      </c>
      <c r="F35" s="82"/>
      <c r="G35" s="83"/>
      <c r="H35" s="84"/>
      <c r="I35" s="85"/>
    </row>
    <row r="36" spans="1:9" ht="15" customHeight="1" hidden="1" outlineLevel="1">
      <c r="A36" s="81" t="s">
        <v>548</v>
      </c>
      <c r="B36" s="82">
        <v>1377.95</v>
      </c>
      <c r="C36" s="82">
        <v>5802</v>
      </c>
      <c r="D36" s="82">
        <v>1</v>
      </c>
      <c r="E36" s="246">
        <f t="shared" si="0"/>
        <v>4424.05</v>
      </c>
      <c r="F36" s="82"/>
      <c r="G36" s="83"/>
      <c r="H36" s="84"/>
      <c r="I36" s="85"/>
    </row>
    <row r="37" spans="1:9" ht="15" customHeight="1" hidden="1" outlineLevel="1">
      <c r="A37" s="81" t="s">
        <v>549</v>
      </c>
      <c r="B37" s="82">
        <v>1143.7</v>
      </c>
      <c r="C37" s="82">
        <v>6990</v>
      </c>
      <c r="D37" s="82">
        <v>1</v>
      </c>
      <c r="E37" s="246">
        <f t="shared" si="0"/>
        <v>5846.3</v>
      </c>
      <c r="F37" s="82"/>
      <c r="G37" s="83"/>
      <c r="H37" s="84"/>
      <c r="I37" s="85"/>
    </row>
    <row r="38" spans="1:9" ht="15" customHeight="1" hidden="1" outlineLevel="1">
      <c r="A38" s="81" t="s">
        <v>550</v>
      </c>
      <c r="B38" s="82">
        <v>0</v>
      </c>
      <c r="C38" s="82">
        <v>27534</v>
      </c>
      <c r="D38" s="82">
        <v>9.5</v>
      </c>
      <c r="E38" s="246">
        <f t="shared" si="0"/>
        <v>2898.315789473684</v>
      </c>
      <c r="F38" s="82"/>
      <c r="G38" s="83"/>
      <c r="H38" s="84"/>
      <c r="I38" s="85"/>
    </row>
    <row r="39" spans="1:9" ht="15" customHeight="1" hidden="1" outlineLevel="1" thickBot="1">
      <c r="A39" s="86" t="s">
        <v>551</v>
      </c>
      <c r="B39" s="87">
        <v>0</v>
      </c>
      <c r="C39" s="87">
        <v>13647</v>
      </c>
      <c r="D39" s="87">
        <v>9.5</v>
      </c>
      <c r="E39" s="247">
        <f t="shared" si="0"/>
        <v>1436.5263157894738</v>
      </c>
      <c r="F39" s="87"/>
      <c r="G39" s="88"/>
      <c r="H39" s="89"/>
      <c r="I39" s="90"/>
    </row>
    <row r="40" spans="1:9" ht="15" customHeight="1" hidden="1" outlineLevel="1">
      <c r="A40" s="81" t="s">
        <v>356</v>
      </c>
      <c r="B40" s="82"/>
      <c r="C40" s="82"/>
      <c r="D40" s="82"/>
      <c r="E40" s="82"/>
      <c r="F40" s="82"/>
      <c r="G40" s="83"/>
      <c r="H40" s="84"/>
      <c r="I40" s="85"/>
    </row>
    <row r="41" spans="1:9" ht="15" customHeight="1" hidden="1" outlineLevel="1" thickBot="1">
      <c r="A41" s="81" t="s">
        <v>357</v>
      </c>
      <c r="B41" s="82"/>
      <c r="C41" s="82"/>
      <c r="D41" s="82"/>
      <c r="E41" s="82" t="s">
        <v>516</v>
      </c>
      <c r="F41" s="82"/>
      <c r="G41" s="83"/>
      <c r="H41" s="84"/>
      <c r="I41" s="85"/>
    </row>
    <row r="42" spans="1:9" ht="15" customHeight="1" hidden="1" outlineLevel="1">
      <c r="A42" s="174" t="s">
        <v>517</v>
      </c>
      <c r="B42" s="78"/>
      <c r="C42" s="78"/>
      <c r="D42" s="78"/>
      <c r="E42" s="175"/>
      <c r="F42" s="175"/>
      <c r="G42" s="78"/>
      <c r="H42" s="175" t="e">
        <f>#REF!</f>
        <v>#REF!</v>
      </c>
      <c r="I42" s="225" t="e">
        <f>H42/12</f>
        <v>#REF!</v>
      </c>
    </row>
    <row r="43" spans="1:9" ht="15" customHeight="1" hidden="1" outlineLevel="1">
      <c r="A43" s="178" t="s">
        <v>518</v>
      </c>
      <c r="B43" s="83"/>
      <c r="C43" s="83"/>
      <c r="D43" s="83"/>
      <c r="E43" s="179"/>
      <c r="F43" s="179"/>
      <c r="G43" s="83"/>
      <c r="H43" s="179" t="e">
        <f>#REF!</f>
        <v>#REF!</v>
      </c>
      <c r="I43" s="226" t="e">
        <f>H43/12</f>
        <v>#REF!</v>
      </c>
    </row>
    <row r="44" spans="1:15" s="69" customFormat="1" ht="15" customHeight="1" hidden="1" outlineLevel="1">
      <c r="A44" s="178" t="s">
        <v>519</v>
      </c>
      <c r="B44" s="83"/>
      <c r="C44" s="83"/>
      <c r="D44" s="83"/>
      <c r="E44" s="179"/>
      <c r="F44" s="179"/>
      <c r="G44" s="83"/>
      <c r="H44" s="179" t="e">
        <f>#REF!</f>
        <v>#REF!</v>
      </c>
      <c r="I44" s="226" t="e">
        <f>H44/12</f>
        <v>#REF!</v>
      </c>
      <c r="K44" s="245"/>
      <c r="M44" s="245"/>
      <c r="O44" s="245"/>
    </row>
    <row r="45" spans="1:15" s="69" customFormat="1" ht="15" customHeight="1" hidden="1" outlineLevel="1">
      <c r="A45" s="178" t="s">
        <v>520</v>
      </c>
      <c r="B45" s="83"/>
      <c r="C45" s="83"/>
      <c r="D45" s="83"/>
      <c r="E45" s="179"/>
      <c r="F45" s="179"/>
      <c r="G45" s="83"/>
      <c r="H45" s="179" t="e">
        <f>#REF!</f>
        <v>#REF!</v>
      </c>
      <c r="I45" s="226" t="e">
        <f>H45/5.5</f>
        <v>#REF!</v>
      </c>
      <c r="K45" s="245"/>
      <c r="M45" s="245"/>
      <c r="O45" s="245"/>
    </row>
    <row r="46" spans="1:15" s="69" customFormat="1" ht="15" customHeight="1" hidden="1" outlineLevel="1">
      <c r="A46" s="178" t="s">
        <v>521</v>
      </c>
      <c r="B46" s="83"/>
      <c r="C46" s="83"/>
      <c r="D46" s="83"/>
      <c r="E46" s="179"/>
      <c r="F46" s="179"/>
      <c r="G46" s="83"/>
      <c r="H46" s="179" t="e">
        <f>#REF!</f>
        <v>#REF!</v>
      </c>
      <c r="I46" s="226" t="e">
        <f>H46/6.5</f>
        <v>#REF!</v>
      </c>
      <c r="K46" s="245"/>
      <c r="M46" s="245"/>
      <c r="O46" s="245"/>
    </row>
    <row r="47" spans="1:15" s="69" customFormat="1" ht="15" customHeight="1" hidden="1" outlineLevel="1" thickBot="1">
      <c r="A47" s="227" t="s">
        <v>522</v>
      </c>
      <c r="B47" s="88"/>
      <c r="C47" s="88"/>
      <c r="D47" s="88"/>
      <c r="E47" s="228"/>
      <c r="F47" s="228"/>
      <c r="G47" s="88"/>
      <c r="H47" s="228" t="e">
        <f>#REF!</f>
        <v>#REF!</v>
      </c>
      <c r="I47" s="229" t="e">
        <f>H47/12</f>
        <v>#REF!</v>
      </c>
      <c r="K47" s="245"/>
      <c r="M47" s="245"/>
      <c r="O47" s="245"/>
    </row>
    <row r="48" spans="1:16" s="91" customFormat="1" ht="36.75" customHeight="1" collapsed="1" thickBot="1">
      <c r="A48" s="443" t="s">
        <v>287</v>
      </c>
      <c r="B48" s="440"/>
      <c r="C48" s="440"/>
      <c r="D48" s="440"/>
      <c r="E48" s="440"/>
      <c r="F48" s="440"/>
      <c r="G48" s="231" t="s">
        <v>358</v>
      </c>
      <c r="H48" s="63" t="s">
        <v>288</v>
      </c>
      <c r="I48" s="63" t="s">
        <v>294</v>
      </c>
      <c r="J48" s="63" t="s">
        <v>300</v>
      </c>
      <c r="K48" s="248" t="s">
        <v>536</v>
      </c>
      <c r="L48" s="63" t="s">
        <v>300</v>
      </c>
      <c r="M48" s="63" t="s">
        <v>300</v>
      </c>
      <c r="N48" s="63" t="s">
        <v>300</v>
      </c>
      <c r="O48" s="63" t="s">
        <v>552</v>
      </c>
      <c r="P48" s="63" t="s">
        <v>300</v>
      </c>
    </row>
    <row r="49" spans="1:16" s="97" customFormat="1" ht="31.5" thickBot="1">
      <c r="A49" s="92" t="s">
        <v>274</v>
      </c>
      <c r="B49" s="93" t="s">
        <v>359</v>
      </c>
      <c r="C49" s="93" t="s">
        <v>360</v>
      </c>
      <c r="D49" s="93" t="s">
        <v>361</v>
      </c>
      <c r="E49" s="93" t="s">
        <v>329</v>
      </c>
      <c r="F49" s="93" t="s">
        <v>362</v>
      </c>
      <c r="G49" s="94" t="s">
        <v>363</v>
      </c>
      <c r="H49" s="95">
        <v>332980.45</v>
      </c>
      <c r="I49" s="95">
        <f aca="true" t="shared" si="1" ref="I49:I56">H49/12</f>
        <v>27748.370833333334</v>
      </c>
      <c r="J49" s="95">
        <f aca="true" t="shared" si="2" ref="J49:J55">I49/$E$4</f>
        <v>2.9787632128876194</v>
      </c>
      <c r="K49" s="249">
        <f aca="true" t="shared" si="3" ref="K49:K55">5714.1/9315.4</f>
        <v>0.6134036112244241</v>
      </c>
      <c r="L49" s="95">
        <v>2.98</v>
      </c>
      <c r="M49" s="249">
        <f aca="true" t="shared" si="4" ref="M49:M55">1677.9/9315.4</f>
        <v>0.1801210898082745</v>
      </c>
      <c r="N49" s="95">
        <v>2.98</v>
      </c>
      <c r="O49" s="249">
        <f aca="true" t="shared" si="5" ref="O49:O55">1923.4/9315.4</f>
        <v>0.20647529896730146</v>
      </c>
      <c r="P49" s="96">
        <v>2.98</v>
      </c>
    </row>
    <row r="50" spans="1:16" s="97" customFormat="1" ht="31.5" thickBot="1">
      <c r="A50" s="92" t="s">
        <v>273</v>
      </c>
      <c r="B50" s="93" t="s">
        <v>359</v>
      </c>
      <c r="C50" s="93" t="s">
        <v>360</v>
      </c>
      <c r="D50" s="93" t="s">
        <v>361</v>
      </c>
      <c r="E50" s="93" t="s">
        <v>329</v>
      </c>
      <c r="F50" s="93" t="s">
        <v>362</v>
      </c>
      <c r="G50" s="94" t="s">
        <v>363</v>
      </c>
      <c r="H50" s="95">
        <v>188792.5</v>
      </c>
      <c r="I50" s="95">
        <f t="shared" si="1"/>
        <v>15732.708333333334</v>
      </c>
      <c r="J50" s="95">
        <f t="shared" si="2"/>
        <v>1.6888924075545153</v>
      </c>
      <c r="K50" s="249">
        <f t="shared" si="3"/>
        <v>0.6134036112244241</v>
      </c>
      <c r="L50" s="95">
        <v>1.69</v>
      </c>
      <c r="M50" s="249">
        <f t="shared" si="4"/>
        <v>0.1801210898082745</v>
      </c>
      <c r="N50" s="95">
        <v>1.69</v>
      </c>
      <c r="O50" s="249">
        <f t="shared" si="5"/>
        <v>0.20647529896730146</v>
      </c>
      <c r="P50" s="96">
        <v>1.69</v>
      </c>
    </row>
    <row r="51" spans="1:16" s="118" customFormat="1" ht="31.5" thickBot="1">
      <c r="A51" s="92" t="s">
        <v>275</v>
      </c>
      <c r="B51" s="93" t="s">
        <v>359</v>
      </c>
      <c r="C51" s="93" t="s">
        <v>360</v>
      </c>
      <c r="D51" s="93" t="s">
        <v>361</v>
      </c>
      <c r="E51" s="93" t="s">
        <v>329</v>
      </c>
      <c r="F51" s="93" t="s">
        <v>362</v>
      </c>
      <c r="G51" s="94" t="s">
        <v>363</v>
      </c>
      <c r="H51" s="95">
        <v>226767.68</v>
      </c>
      <c r="I51" s="95">
        <f t="shared" si="1"/>
        <v>18897.306666666667</v>
      </c>
      <c r="J51" s="95">
        <f t="shared" si="2"/>
        <v>2.028609256356857</v>
      </c>
      <c r="K51" s="249">
        <f t="shared" si="3"/>
        <v>0.6134036112244241</v>
      </c>
      <c r="L51" s="95">
        <v>2.03</v>
      </c>
      <c r="M51" s="249">
        <f t="shared" si="4"/>
        <v>0.1801210898082745</v>
      </c>
      <c r="N51" s="95">
        <v>2.03</v>
      </c>
      <c r="O51" s="249">
        <f t="shared" si="5"/>
        <v>0.20647529896730146</v>
      </c>
      <c r="P51" s="96">
        <v>2.03</v>
      </c>
    </row>
    <row r="52" spans="1:16" s="123" customFormat="1" ht="15" customHeight="1" hidden="1" outlineLevel="2">
      <c r="A52" s="126" t="s">
        <v>384</v>
      </c>
      <c r="B52" s="120"/>
      <c r="C52" s="120"/>
      <c r="D52" s="134"/>
      <c r="E52" s="121"/>
      <c r="F52" s="120">
        <v>4</v>
      </c>
      <c r="G52" s="119">
        <v>766</v>
      </c>
      <c r="H52" s="121">
        <f>F52*G52</f>
        <v>3064</v>
      </c>
      <c r="I52" s="121">
        <f t="shared" si="1"/>
        <v>255.33333333333334</v>
      </c>
      <c r="J52" s="253">
        <f t="shared" si="2"/>
        <v>0.027409808846998875</v>
      </c>
      <c r="K52" s="254">
        <f t="shared" si="3"/>
        <v>0.6134036112244241</v>
      </c>
      <c r="L52" s="253">
        <f>H52*K52/12/5714.1</f>
        <v>0.027409808846998878</v>
      </c>
      <c r="M52" s="254">
        <f t="shared" si="4"/>
        <v>0.1801210898082745</v>
      </c>
      <c r="N52" s="253">
        <f>H52*M52/12/1677.9</f>
        <v>0.027409808846998875</v>
      </c>
      <c r="O52" s="254">
        <f t="shared" si="5"/>
        <v>0.20647529896730146</v>
      </c>
      <c r="P52" s="253">
        <f>H52*O52/12/1923.4</f>
        <v>0.027409808846998875</v>
      </c>
    </row>
    <row r="53" spans="1:16" s="123" customFormat="1" ht="15" customHeight="1" hidden="1" outlineLevel="2">
      <c r="A53" s="126" t="s">
        <v>385</v>
      </c>
      <c r="B53" s="120"/>
      <c r="C53" s="120"/>
      <c r="D53" s="134"/>
      <c r="E53" s="121"/>
      <c r="F53" s="120">
        <v>4</v>
      </c>
      <c r="G53" s="119">
        <v>680</v>
      </c>
      <c r="H53" s="121">
        <f>F53*G53</f>
        <v>2720</v>
      </c>
      <c r="I53" s="121">
        <f t="shared" si="1"/>
        <v>226.66666666666666</v>
      </c>
      <c r="J53" s="253">
        <f t="shared" si="2"/>
        <v>0.02433246738375879</v>
      </c>
      <c r="K53" s="254">
        <f t="shared" si="3"/>
        <v>0.6134036112244241</v>
      </c>
      <c r="L53" s="253">
        <f>H53*K53/12/5714.1</f>
        <v>0.024332467383758796</v>
      </c>
      <c r="M53" s="254">
        <f t="shared" si="4"/>
        <v>0.1801210898082745</v>
      </c>
      <c r="N53" s="253">
        <f>H53*M53/12/1677.9</f>
        <v>0.024332467383758796</v>
      </c>
      <c r="O53" s="254">
        <f t="shared" si="5"/>
        <v>0.20647529896730146</v>
      </c>
      <c r="P53" s="253">
        <f>H53*O53/12/1923.4</f>
        <v>0.024332467383758792</v>
      </c>
    </row>
    <row r="54" spans="1:16" s="123" customFormat="1" ht="15" customHeight="1" hidden="1" outlineLevel="2">
      <c r="A54" s="126" t="s">
        <v>386</v>
      </c>
      <c r="B54" s="120"/>
      <c r="C54" s="120"/>
      <c r="D54" s="134"/>
      <c r="E54" s="121"/>
      <c r="F54" s="120">
        <v>4</v>
      </c>
      <c r="G54" s="119">
        <v>790</v>
      </c>
      <c r="H54" s="121">
        <f>F54*G54</f>
        <v>3160</v>
      </c>
      <c r="I54" s="121">
        <f t="shared" si="1"/>
        <v>263.3333333333333</v>
      </c>
      <c r="J54" s="253">
        <f t="shared" si="2"/>
        <v>0.028268601813484475</v>
      </c>
      <c r="K54" s="254">
        <f t="shared" si="3"/>
        <v>0.6134036112244241</v>
      </c>
      <c r="L54" s="253">
        <f>H54*K54/12/5714.1</f>
        <v>0.028268601813484482</v>
      </c>
      <c r="M54" s="254">
        <f t="shared" si="4"/>
        <v>0.1801210898082745</v>
      </c>
      <c r="N54" s="253">
        <f>H54*M54/12/1677.9</f>
        <v>0.02826860181348448</v>
      </c>
      <c r="O54" s="254">
        <f t="shared" si="5"/>
        <v>0.20647529896730146</v>
      </c>
      <c r="P54" s="253">
        <f>H54*O54/12/1923.4</f>
        <v>0.02826860181348448</v>
      </c>
    </row>
    <row r="55" spans="1:16" s="118" customFormat="1" ht="31.5" collapsed="1" thickBot="1">
      <c r="A55" s="92" t="s">
        <v>282</v>
      </c>
      <c r="B55" s="93" t="s">
        <v>359</v>
      </c>
      <c r="C55" s="93" t="s">
        <v>360</v>
      </c>
      <c r="D55" s="93" t="s">
        <v>361</v>
      </c>
      <c r="E55" s="93" t="s">
        <v>329</v>
      </c>
      <c r="F55" s="93" t="s">
        <v>362</v>
      </c>
      <c r="G55" s="94" t="s">
        <v>363</v>
      </c>
      <c r="H55" s="95">
        <v>92936.93</v>
      </c>
      <c r="I55" s="95">
        <f t="shared" si="1"/>
        <v>7744.744166666666</v>
      </c>
      <c r="J55" s="95">
        <f t="shared" si="2"/>
        <v>0.8313914771954682</v>
      </c>
      <c r="K55" s="249">
        <f t="shared" si="3"/>
        <v>0.6134036112244241</v>
      </c>
      <c r="L55" s="95">
        <v>0.83</v>
      </c>
      <c r="M55" s="249">
        <f t="shared" si="4"/>
        <v>0.1801210898082745</v>
      </c>
      <c r="N55" s="95">
        <v>0.83</v>
      </c>
      <c r="O55" s="249">
        <f t="shared" si="5"/>
        <v>0.20647529896730146</v>
      </c>
      <c r="P55" s="96">
        <v>0.83</v>
      </c>
    </row>
    <row r="56" spans="1:16" ht="31.5" thickBot="1">
      <c r="A56" s="92" t="s">
        <v>289</v>
      </c>
      <c r="B56" s="93" t="s">
        <v>359</v>
      </c>
      <c r="C56" s="93" t="s">
        <v>360</v>
      </c>
      <c r="D56" s="93" t="s">
        <v>361</v>
      </c>
      <c r="E56" s="93" t="s">
        <v>329</v>
      </c>
      <c r="F56" s="93" t="s">
        <v>362</v>
      </c>
      <c r="G56" s="94" t="s">
        <v>363</v>
      </c>
      <c r="H56" s="95">
        <v>3838.32</v>
      </c>
      <c r="I56" s="95">
        <f t="shared" si="1"/>
        <v>319.86</v>
      </c>
      <c r="J56" s="95">
        <f aca="true" t="shared" si="6" ref="J56:J61">I56/$E$4</f>
        <v>0.03433668978251068</v>
      </c>
      <c r="K56" s="249">
        <f aca="true" t="shared" si="7" ref="K56:K61">5714.1/9315.4</f>
        <v>0.6134036112244241</v>
      </c>
      <c r="L56" s="95">
        <v>0.03</v>
      </c>
      <c r="M56" s="249">
        <f aca="true" t="shared" si="8" ref="M56:M71">1677.9/9315.4</f>
        <v>0.1801210898082745</v>
      </c>
      <c r="N56" s="95">
        <v>0.03</v>
      </c>
      <c r="O56" s="249">
        <f aca="true" t="shared" si="9" ref="O56:O61">1923.4/9315.4</f>
        <v>0.20647529896730146</v>
      </c>
      <c r="P56" s="96">
        <v>0.03</v>
      </c>
    </row>
    <row r="57" spans="1:16" s="69" customFormat="1" ht="30" customHeight="1" thickBot="1">
      <c r="A57" s="92" t="s">
        <v>301</v>
      </c>
      <c r="B57" s="93" t="s">
        <v>359</v>
      </c>
      <c r="C57" s="93" t="s">
        <v>360</v>
      </c>
      <c r="D57" s="93" t="s">
        <v>361</v>
      </c>
      <c r="E57" s="93" t="s">
        <v>329</v>
      </c>
      <c r="F57" s="93" t="s">
        <v>362</v>
      </c>
      <c r="G57" s="94" t="s">
        <v>363</v>
      </c>
      <c r="H57" s="95">
        <v>502955.72</v>
      </c>
      <c r="I57" s="95">
        <f aca="true" t="shared" si="10" ref="I57:I79">H57/12</f>
        <v>41912.97666666666</v>
      </c>
      <c r="J57" s="95">
        <f t="shared" si="6"/>
        <v>4.499321195726073</v>
      </c>
      <c r="K57" s="249">
        <f t="shared" si="7"/>
        <v>0.6134036112244241</v>
      </c>
      <c r="L57" s="95">
        <v>4.5</v>
      </c>
      <c r="M57" s="249">
        <f t="shared" si="8"/>
        <v>0.1801210898082745</v>
      </c>
      <c r="N57" s="95">
        <v>4.5</v>
      </c>
      <c r="O57" s="249">
        <f t="shared" si="9"/>
        <v>0.20647529896730146</v>
      </c>
      <c r="P57" s="96">
        <v>4.5</v>
      </c>
    </row>
    <row r="58" spans="1:16" s="69" customFormat="1" ht="31.5" thickBot="1">
      <c r="A58" s="152" t="s">
        <v>286</v>
      </c>
      <c r="B58" s="153"/>
      <c r="C58" s="153"/>
      <c r="D58" s="153" t="s">
        <v>361</v>
      </c>
      <c r="E58" s="153" t="s">
        <v>329</v>
      </c>
      <c r="F58" s="153" t="s">
        <v>362</v>
      </c>
      <c r="G58" s="154" t="s">
        <v>363</v>
      </c>
      <c r="H58" s="155">
        <v>759677.38</v>
      </c>
      <c r="I58" s="155">
        <f>H58/12</f>
        <v>63306.448333333334</v>
      </c>
      <c r="J58" s="155">
        <f>I58/$E$4</f>
        <v>6.7958915702313725</v>
      </c>
      <c r="K58" s="255">
        <f t="shared" si="7"/>
        <v>0.6134036112244241</v>
      </c>
      <c r="L58" s="155">
        <f>SUM(L59:L72)</f>
        <v>7.305973766272434</v>
      </c>
      <c r="M58" s="255">
        <f t="shared" si="8"/>
        <v>0.1801210898082745</v>
      </c>
      <c r="N58" s="155">
        <f>SUM(N59:N72)</f>
        <v>7.685771442174998</v>
      </c>
      <c r="O58" s="255">
        <f t="shared" si="9"/>
        <v>0.20647529896730146</v>
      </c>
      <c r="P58" s="156">
        <f>SUM(P59:P72)</f>
        <v>4.504137256585868</v>
      </c>
    </row>
    <row r="59" spans="1:16" s="69" customFormat="1" ht="15" customHeight="1">
      <c r="A59" s="106" t="s">
        <v>276</v>
      </c>
      <c r="B59" s="68" t="s">
        <v>364</v>
      </c>
      <c r="C59" s="68" t="s">
        <v>364</v>
      </c>
      <c r="D59" s="67">
        <v>12</v>
      </c>
      <c r="E59" s="68">
        <f>E4</f>
        <v>9315.400000000001</v>
      </c>
      <c r="F59" s="68">
        <f>D59*E59</f>
        <v>111784.80000000002</v>
      </c>
      <c r="G59" s="139">
        <v>0.44</v>
      </c>
      <c r="H59" s="108">
        <v>49055.88</v>
      </c>
      <c r="I59" s="108">
        <f t="shared" si="10"/>
        <v>4087.99</v>
      </c>
      <c r="J59" s="241">
        <f t="shared" si="6"/>
        <v>0.4388421323829357</v>
      </c>
      <c r="K59" s="250">
        <f t="shared" si="7"/>
        <v>0.6134036112244241</v>
      </c>
      <c r="L59" s="241">
        <f>H59*K59/12/5714.1</f>
        <v>0.4388421323829358</v>
      </c>
      <c r="M59" s="250">
        <f t="shared" si="8"/>
        <v>0.1801210898082745</v>
      </c>
      <c r="N59" s="241">
        <f aca="true" t="shared" si="11" ref="N59:N71">H59*M59/12/1677.9</f>
        <v>0.4388421323829358</v>
      </c>
      <c r="O59" s="250">
        <f t="shared" si="9"/>
        <v>0.20647529896730146</v>
      </c>
      <c r="P59" s="237">
        <f aca="true" t="shared" si="12" ref="P59:P75">H59*O59/12/1923.4</f>
        <v>0.43884213238293573</v>
      </c>
    </row>
    <row r="60" spans="1:16" s="69" customFormat="1" ht="15" customHeight="1" hidden="1">
      <c r="A60" s="106" t="s">
        <v>277</v>
      </c>
      <c r="B60" s="68" t="s">
        <v>364</v>
      </c>
      <c r="C60" s="68" t="s">
        <v>364</v>
      </c>
      <c r="D60" s="67">
        <v>12</v>
      </c>
      <c r="E60" s="68">
        <f>E7</f>
        <v>1850.3000000000002</v>
      </c>
      <c r="F60" s="68">
        <f>D60*E60</f>
        <v>22203.600000000002</v>
      </c>
      <c r="G60" s="139">
        <v>0</v>
      </c>
      <c r="H60" s="108">
        <f aca="true" t="shared" si="13" ref="H60:H72">F60*G60</f>
        <v>0</v>
      </c>
      <c r="I60" s="108">
        <f t="shared" si="10"/>
        <v>0</v>
      </c>
      <c r="J60" s="241">
        <f t="shared" si="6"/>
        <v>0</v>
      </c>
      <c r="K60" s="250">
        <f t="shared" si="7"/>
        <v>0.6134036112244241</v>
      </c>
      <c r="L60" s="241">
        <f>H60*K60/12/5714.1</f>
        <v>0</v>
      </c>
      <c r="M60" s="250">
        <f t="shared" si="8"/>
        <v>0.1801210898082745</v>
      </c>
      <c r="N60" s="241">
        <f t="shared" si="11"/>
        <v>0</v>
      </c>
      <c r="O60" s="250">
        <f t="shared" si="9"/>
        <v>0.20647529896730146</v>
      </c>
      <c r="P60" s="237">
        <f t="shared" si="12"/>
        <v>0</v>
      </c>
    </row>
    <row r="61" spans="1:16" s="69" customFormat="1" ht="15" customHeight="1">
      <c r="A61" s="106" t="s">
        <v>278</v>
      </c>
      <c r="B61" s="68" t="s">
        <v>364</v>
      </c>
      <c r="C61" s="68" t="s">
        <v>364</v>
      </c>
      <c r="D61" s="67">
        <v>1</v>
      </c>
      <c r="E61" s="68">
        <f>E7</f>
        <v>1850.3000000000002</v>
      </c>
      <c r="F61" s="68">
        <f>D61*E61</f>
        <v>1850.3000000000002</v>
      </c>
      <c r="G61" s="139">
        <v>3.12</v>
      </c>
      <c r="H61" s="108">
        <f>F61*G61</f>
        <v>5772.936000000001</v>
      </c>
      <c r="I61" s="108">
        <f t="shared" si="10"/>
        <v>481.07800000000003</v>
      </c>
      <c r="J61" s="241">
        <f t="shared" si="6"/>
        <v>0.0516433003413702</v>
      </c>
      <c r="K61" s="250">
        <f t="shared" si="7"/>
        <v>0.6134036112244241</v>
      </c>
      <c r="L61" s="241">
        <f>H61*K61/12/5714.1</f>
        <v>0.051643300341370206</v>
      </c>
      <c r="M61" s="250">
        <f t="shared" si="8"/>
        <v>0.1801210898082745</v>
      </c>
      <c r="N61" s="241">
        <f t="shared" si="11"/>
        <v>0.05164330034137021</v>
      </c>
      <c r="O61" s="250">
        <f t="shared" si="9"/>
        <v>0.20647529896730146</v>
      </c>
      <c r="P61" s="237">
        <f t="shared" si="12"/>
        <v>0.05164330034137021</v>
      </c>
    </row>
    <row r="62" spans="1:16" s="69" customFormat="1" ht="15" customHeight="1" hidden="1">
      <c r="A62" s="106" t="s">
        <v>285</v>
      </c>
      <c r="B62" s="68" t="s">
        <v>364</v>
      </c>
      <c r="C62" s="68" t="s">
        <v>364</v>
      </c>
      <c r="D62" s="67">
        <v>0</v>
      </c>
      <c r="E62" s="68">
        <f>E6</f>
        <v>153</v>
      </c>
      <c r="F62" s="68">
        <f>D62*E62</f>
        <v>0</v>
      </c>
      <c r="G62" s="139">
        <v>25</v>
      </c>
      <c r="H62" s="108">
        <f t="shared" si="13"/>
        <v>0</v>
      </c>
      <c r="I62" s="108">
        <f t="shared" si="10"/>
        <v>0</v>
      </c>
      <c r="J62" s="241">
        <f aca="true" t="shared" si="14" ref="J62:J79">I62/$E$4</f>
        <v>0</v>
      </c>
      <c r="K62" s="250">
        <f aca="true" t="shared" si="15" ref="K62:K79">5714.1/9315.4</f>
        <v>0.6134036112244241</v>
      </c>
      <c r="L62" s="241">
        <f>H62*K62/12/5714.1</f>
        <v>0</v>
      </c>
      <c r="M62" s="250">
        <f t="shared" si="8"/>
        <v>0.1801210898082745</v>
      </c>
      <c r="N62" s="241">
        <f t="shared" si="11"/>
        <v>0</v>
      </c>
      <c r="O62" s="250">
        <f aca="true" t="shared" si="16" ref="O62:O79">1923.4/9315.4</f>
        <v>0.20647529896730146</v>
      </c>
      <c r="P62" s="237">
        <f t="shared" si="12"/>
        <v>0</v>
      </c>
    </row>
    <row r="63" spans="1:16" s="69" customFormat="1" ht="15" customHeight="1" hidden="1">
      <c r="A63" s="106" t="s">
        <v>290</v>
      </c>
      <c r="B63" s="68" t="s">
        <v>364</v>
      </c>
      <c r="C63" s="68" t="s">
        <v>364</v>
      </c>
      <c r="D63" s="67">
        <v>12</v>
      </c>
      <c r="E63" s="68">
        <v>0</v>
      </c>
      <c r="F63" s="68">
        <f>D63*E63</f>
        <v>0</v>
      </c>
      <c r="G63" s="139">
        <v>265.62</v>
      </c>
      <c r="H63" s="108">
        <f t="shared" si="13"/>
        <v>0</v>
      </c>
      <c r="I63" s="108">
        <f t="shared" si="10"/>
        <v>0</v>
      </c>
      <c r="J63" s="241">
        <f t="shared" si="14"/>
        <v>0</v>
      </c>
      <c r="K63" s="250">
        <f t="shared" si="15"/>
        <v>0.6134036112244241</v>
      </c>
      <c r="L63" s="241">
        <f aca="true" t="shared" si="17" ref="L63:L75">H63*K63/12/5714.1</f>
        <v>0</v>
      </c>
      <c r="M63" s="250">
        <f t="shared" si="8"/>
        <v>0.1801210898082745</v>
      </c>
      <c r="N63" s="241">
        <f t="shared" si="11"/>
        <v>0</v>
      </c>
      <c r="O63" s="250">
        <f t="shared" si="16"/>
        <v>0.20647529896730146</v>
      </c>
      <c r="P63" s="237">
        <f t="shared" si="12"/>
        <v>0</v>
      </c>
    </row>
    <row r="64" spans="1:16" s="69" customFormat="1" ht="15" customHeight="1">
      <c r="A64" s="106" t="s">
        <v>291</v>
      </c>
      <c r="B64" s="68" t="s">
        <v>364</v>
      </c>
      <c r="C64" s="68" t="s">
        <v>364</v>
      </c>
      <c r="D64" s="67">
        <v>12</v>
      </c>
      <c r="E64" s="68">
        <v>79</v>
      </c>
      <c r="F64" s="68">
        <f aca="true" t="shared" si="18" ref="F64:F72">D64*E64</f>
        <v>948</v>
      </c>
      <c r="G64" s="139">
        <f>216.11*1.18</f>
        <v>255.0098</v>
      </c>
      <c r="H64" s="108">
        <f t="shared" si="13"/>
        <v>241749.2904</v>
      </c>
      <c r="I64" s="108">
        <f t="shared" si="10"/>
        <v>20145.7742</v>
      </c>
      <c r="J64" s="241">
        <f t="shared" si="14"/>
        <v>2.162631148420894</v>
      </c>
      <c r="K64" s="250">
        <f t="shared" si="15"/>
        <v>0.6134036112244241</v>
      </c>
      <c r="L64" s="241">
        <f t="shared" si="17"/>
        <v>2.1626311484208944</v>
      </c>
      <c r="M64" s="250">
        <f t="shared" si="8"/>
        <v>0.1801210898082745</v>
      </c>
      <c r="N64" s="241">
        <f t="shared" si="11"/>
        <v>2.1626311484208944</v>
      </c>
      <c r="O64" s="250">
        <f t="shared" si="16"/>
        <v>0.20647529896730146</v>
      </c>
      <c r="P64" s="237">
        <f t="shared" si="12"/>
        <v>2.1626311484208944</v>
      </c>
    </row>
    <row r="65" spans="1:16" s="69" customFormat="1" ht="15" customHeight="1">
      <c r="A65" s="106" t="s">
        <v>297</v>
      </c>
      <c r="B65" s="68" t="s">
        <v>364</v>
      </c>
      <c r="C65" s="68" t="s">
        <v>364</v>
      </c>
      <c r="D65" s="67">
        <v>1</v>
      </c>
      <c r="E65" s="68">
        <f>E27</f>
        <v>306</v>
      </c>
      <c r="F65" s="68">
        <f>E65*D65</f>
        <v>306</v>
      </c>
      <c r="G65" s="139">
        <v>13.18</v>
      </c>
      <c r="H65" s="108">
        <f>F65*G65</f>
        <v>4033.08</v>
      </c>
      <c r="I65" s="108">
        <f t="shared" si="10"/>
        <v>336.09</v>
      </c>
      <c r="J65" s="241">
        <f t="shared" si="14"/>
        <v>0.03607896601326834</v>
      </c>
      <c r="K65" s="250">
        <f t="shared" si="15"/>
        <v>0.6134036112244241</v>
      </c>
      <c r="L65" s="241">
        <f t="shared" si="17"/>
        <v>0.03607896601326835</v>
      </c>
      <c r="M65" s="250">
        <f t="shared" si="8"/>
        <v>0.1801210898082745</v>
      </c>
      <c r="N65" s="241">
        <f t="shared" si="11"/>
        <v>0.03607896601326835</v>
      </c>
      <c r="O65" s="250">
        <f t="shared" si="16"/>
        <v>0.20647529896730146</v>
      </c>
      <c r="P65" s="237">
        <f t="shared" si="12"/>
        <v>0.03607896601326835</v>
      </c>
    </row>
    <row r="66" spans="1:16" s="69" customFormat="1" ht="15" customHeight="1" hidden="1">
      <c r="A66" s="106" t="s">
        <v>298</v>
      </c>
      <c r="B66" s="68" t="s">
        <v>364</v>
      </c>
      <c r="C66" s="68" t="s">
        <v>364</v>
      </c>
      <c r="D66" s="67">
        <v>4</v>
      </c>
      <c r="E66" s="68">
        <f>E28</f>
        <v>0</v>
      </c>
      <c r="F66" s="68">
        <f>E66*D66</f>
        <v>0</v>
      </c>
      <c r="G66" s="139">
        <v>19</v>
      </c>
      <c r="H66" s="108">
        <f>F66*G66</f>
        <v>0</v>
      </c>
      <c r="I66" s="108">
        <f t="shared" si="10"/>
        <v>0</v>
      </c>
      <c r="J66" s="241">
        <f t="shared" si="14"/>
        <v>0</v>
      </c>
      <c r="K66" s="250">
        <f t="shared" si="15"/>
        <v>0.6134036112244241</v>
      </c>
      <c r="L66" s="241">
        <f t="shared" si="17"/>
        <v>0</v>
      </c>
      <c r="M66" s="250">
        <f t="shared" si="8"/>
        <v>0.1801210898082745</v>
      </c>
      <c r="N66" s="241">
        <f t="shared" si="11"/>
        <v>0</v>
      </c>
      <c r="O66" s="250">
        <f t="shared" si="16"/>
        <v>0.20647529896730146</v>
      </c>
      <c r="P66" s="237">
        <f t="shared" si="12"/>
        <v>0</v>
      </c>
    </row>
    <row r="67" spans="1:16" s="69" customFormat="1" ht="15" customHeight="1">
      <c r="A67" s="106" t="s">
        <v>279</v>
      </c>
      <c r="B67" s="68" t="s">
        <v>364</v>
      </c>
      <c r="C67" s="68" t="s">
        <v>364</v>
      </c>
      <c r="D67" s="67">
        <v>12</v>
      </c>
      <c r="E67" s="68">
        <f>E6</f>
        <v>153</v>
      </c>
      <c r="F67" s="68">
        <f>D67*E67</f>
        <v>1836</v>
      </c>
      <c r="G67" s="139">
        <f>11.5+15.28</f>
        <v>26.78</v>
      </c>
      <c r="H67" s="108">
        <v>30000</v>
      </c>
      <c r="I67" s="108">
        <f t="shared" si="10"/>
        <v>2500</v>
      </c>
      <c r="J67" s="241">
        <f t="shared" si="14"/>
        <v>0.26837280202675134</v>
      </c>
      <c r="K67" s="250">
        <f t="shared" si="15"/>
        <v>0.6134036112244241</v>
      </c>
      <c r="L67" s="241">
        <f t="shared" si="17"/>
        <v>0.2683728020267514</v>
      </c>
      <c r="M67" s="250">
        <f t="shared" si="8"/>
        <v>0.1801210898082745</v>
      </c>
      <c r="N67" s="241">
        <f t="shared" si="11"/>
        <v>0.2683728020267514</v>
      </c>
      <c r="O67" s="250">
        <f t="shared" si="16"/>
        <v>0.20647529896730146</v>
      </c>
      <c r="P67" s="237">
        <f t="shared" si="12"/>
        <v>0.26837280202675134</v>
      </c>
    </row>
    <row r="68" spans="1:16" s="69" customFormat="1" ht="15" customHeight="1">
      <c r="A68" s="106" t="s">
        <v>295</v>
      </c>
      <c r="B68" s="68" t="s">
        <v>364</v>
      </c>
      <c r="C68" s="68" t="s">
        <v>364</v>
      </c>
      <c r="D68" s="67">
        <v>12</v>
      </c>
      <c r="E68" s="68">
        <v>2000</v>
      </c>
      <c r="F68" s="68">
        <f t="shared" si="18"/>
        <v>24000</v>
      </c>
      <c r="G68" s="139">
        <v>2.77</v>
      </c>
      <c r="H68" s="108">
        <f t="shared" si="13"/>
        <v>66480</v>
      </c>
      <c r="I68" s="108">
        <f t="shared" si="10"/>
        <v>5540</v>
      </c>
      <c r="J68" s="241">
        <f t="shared" si="14"/>
        <v>0.594714129291281</v>
      </c>
      <c r="K68" s="250">
        <f t="shared" si="15"/>
        <v>0.6134036112244241</v>
      </c>
      <c r="L68" s="241">
        <v>0.62</v>
      </c>
      <c r="M68" s="250">
        <f t="shared" si="8"/>
        <v>0.1801210898082745</v>
      </c>
      <c r="N68" s="241">
        <v>0.64</v>
      </c>
      <c r="O68" s="250">
        <f t="shared" si="16"/>
        <v>0.20647529896730146</v>
      </c>
      <c r="P68" s="237">
        <v>0.48</v>
      </c>
    </row>
    <row r="69" spans="1:16" s="69" customFormat="1" ht="15" customHeight="1">
      <c r="A69" s="106" t="s">
        <v>296</v>
      </c>
      <c r="B69" s="68" t="s">
        <v>364</v>
      </c>
      <c r="C69" s="68" t="s">
        <v>364</v>
      </c>
      <c r="D69" s="67">
        <v>12</v>
      </c>
      <c r="E69" s="68">
        <v>1000</v>
      </c>
      <c r="F69" s="68">
        <f t="shared" si="18"/>
        <v>12000</v>
      </c>
      <c r="G69" s="139">
        <v>1.28</v>
      </c>
      <c r="H69" s="108">
        <f t="shared" si="13"/>
        <v>15360</v>
      </c>
      <c r="I69" s="108">
        <f t="shared" si="10"/>
        <v>1280</v>
      </c>
      <c r="J69" s="241">
        <f t="shared" si="14"/>
        <v>0.13740687463769669</v>
      </c>
      <c r="K69" s="250">
        <f t="shared" si="15"/>
        <v>0.6134036112244241</v>
      </c>
      <c r="L69" s="241">
        <f t="shared" si="17"/>
        <v>0.1374068746376967</v>
      </c>
      <c r="M69" s="250">
        <f t="shared" si="8"/>
        <v>0.1801210898082745</v>
      </c>
      <c r="N69" s="241">
        <f t="shared" si="11"/>
        <v>0.13740687463769674</v>
      </c>
      <c r="O69" s="250">
        <f t="shared" si="16"/>
        <v>0.20647529896730146</v>
      </c>
      <c r="P69" s="237">
        <f t="shared" si="12"/>
        <v>0.1374068746376967</v>
      </c>
    </row>
    <row r="70" spans="1:16" s="69" customFormat="1" ht="15" customHeight="1" hidden="1">
      <c r="A70" s="106" t="s">
        <v>293</v>
      </c>
      <c r="B70" s="68" t="s">
        <v>364</v>
      </c>
      <c r="C70" s="68" t="s">
        <v>364</v>
      </c>
      <c r="D70" s="67">
        <v>0</v>
      </c>
      <c r="E70" s="68">
        <f>IF(E31=0,E6,0)</f>
        <v>0</v>
      </c>
      <c r="F70" s="68">
        <f t="shared" si="18"/>
        <v>0</v>
      </c>
      <c r="G70" s="139">
        <v>51.65</v>
      </c>
      <c r="H70" s="108">
        <f t="shared" si="13"/>
        <v>0</v>
      </c>
      <c r="I70" s="108">
        <f t="shared" si="10"/>
        <v>0</v>
      </c>
      <c r="J70" s="241">
        <f t="shared" si="14"/>
        <v>0</v>
      </c>
      <c r="K70" s="250">
        <f t="shared" si="15"/>
        <v>0.6134036112244241</v>
      </c>
      <c r="L70" s="241">
        <f t="shared" si="17"/>
        <v>0</v>
      </c>
      <c r="M70" s="250">
        <f t="shared" si="8"/>
        <v>0.1801210898082745</v>
      </c>
      <c r="N70" s="241">
        <f t="shared" si="11"/>
        <v>0</v>
      </c>
      <c r="O70" s="250">
        <f t="shared" si="16"/>
        <v>0.20647529896730146</v>
      </c>
      <c r="P70" s="237">
        <f t="shared" si="12"/>
        <v>0</v>
      </c>
    </row>
    <row r="71" spans="1:16" s="69" customFormat="1" ht="15" customHeight="1">
      <c r="A71" s="106" t="s">
        <v>292</v>
      </c>
      <c r="B71" s="68" t="s">
        <v>364</v>
      </c>
      <c r="C71" s="68" t="s">
        <v>364</v>
      </c>
      <c r="D71" s="67">
        <v>12</v>
      </c>
      <c r="E71" s="68">
        <f>E6</f>
        <v>153</v>
      </c>
      <c r="F71" s="68">
        <f>D71*E71</f>
        <v>1836</v>
      </c>
      <c r="G71" s="139">
        <f>51.65+4.6*1.07</f>
        <v>56.571999999999996</v>
      </c>
      <c r="H71" s="108">
        <f>F71*G71</f>
        <v>103866.192</v>
      </c>
      <c r="I71" s="108">
        <f>H71/12</f>
        <v>8655.516</v>
      </c>
      <c r="J71" s="241">
        <f t="shared" si="14"/>
        <v>0.9291620327629515</v>
      </c>
      <c r="K71" s="250">
        <f t="shared" si="15"/>
        <v>0.6134036112244241</v>
      </c>
      <c r="L71" s="241">
        <f t="shared" si="17"/>
        <v>0.9291620327629516</v>
      </c>
      <c r="M71" s="250">
        <f t="shared" si="8"/>
        <v>0.1801210898082745</v>
      </c>
      <c r="N71" s="241">
        <f t="shared" si="11"/>
        <v>0.9291620327629516</v>
      </c>
      <c r="O71" s="250">
        <f t="shared" si="16"/>
        <v>0.20647529896730146</v>
      </c>
      <c r="P71" s="237">
        <f t="shared" si="12"/>
        <v>0.9291620327629516</v>
      </c>
    </row>
    <row r="72" spans="1:16" s="69" customFormat="1" ht="15" customHeight="1" thickBot="1">
      <c r="A72" s="114" t="s">
        <v>280</v>
      </c>
      <c r="B72" s="115" t="s">
        <v>364</v>
      </c>
      <c r="C72" s="115" t="s">
        <v>364</v>
      </c>
      <c r="D72" s="144">
        <v>12</v>
      </c>
      <c r="E72" s="115">
        <f>E25</f>
        <v>4</v>
      </c>
      <c r="F72" s="115">
        <f t="shared" si="18"/>
        <v>48</v>
      </c>
      <c r="G72" s="143">
        <v>5070</v>
      </c>
      <c r="H72" s="116">
        <f t="shared" si="13"/>
        <v>243360</v>
      </c>
      <c r="I72" s="116">
        <f t="shared" si="10"/>
        <v>20280</v>
      </c>
      <c r="J72" s="251">
        <f t="shared" si="14"/>
        <v>2.177040170041007</v>
      </c>
      <c r="K72" s="252">
        <f>1/4*3</f>
        <v>0.75</v>
      </c>
      <c r="L72" s="251">
        <f>H72*K72/12/5714.1</f>
        <v>2.6618365096865646</v>
      </c>
      <c r="M72" s="252">
        <f>1/4</f>
        <v>0.25</v>
      </c>
      <c r="N72" s="251">
        <f>H72*M72/12/1677.9</f>
        <v>3.021634185589129</v>
      </c>
      <c r="O72" s="252">
        <v>0</v>
      </c>
      <c r="P72" s="238">
        <f t="shared" si="12"/>
        <v>0</v>
      </c>
    </row>
    <row r="73" spans="1:16" s="69" customFormat="1" ht="15" customHeight="1">
      <c r="A73" s="183" t="s">
        <v>283</v>
      </c>
      <c r="B73" s="184"/>
      <c r="C73" s="184"/>
      <c r="D73" s="184"/>
      <c r="E73" s="184"/>
      <c r="F73" s="184"/>
      <c r="G73" s="185"/>
      <c r="H73" s="241">
        <f aca="true" t="shared" si="19" ref="H73:P73">H49+H50+H51+H55+H56+H57+H58</f>
        <v>2107948.98</v>
      </c>
      <c r="I73" s="241">
        <f t="shared" si="19"/>
        <v>175662.415</v>
      </c>
      <c r="J73" s="241">
        <f t="shared" si="19"/>
        <v>18.857205809734417</v>
      </c>
      <c r="K73" s="241">
        <f t="shared" si="19"/>
        <v>4.293825278570968</v>
      </c>
      <c r="L73" s="241">
        <f t="shared" si="19"/>
        <v>19.365973766272432</v>
      </c>
      <c r="M73" s="241">
        <f t="shared" si="19"/>
        <v>1.2608476286579215</v>
      </c>
      <c r="N73" s="241">
        <f t="shared" si="19"/>
        <v>19.745771442175</v>
      </c>
      <c r="O73" s="241">
        <f t="shared" si="19"/>
        <v>1.4453270927711104</v>
      </c>
      <c r="P73" s="237">
        <f t="shared" si="19"/>
        <v>16.564137256585866</v>
      </c>
    </row>
    <row r="74" spans="1:16" s="69" customFormat="1" ht="15" customHeight="1">
      <c r="A74" s="183" t="s">
        <v>272</v>
      </c>
      <c r="B74" s="184"/>
      <c r="C74" s="184"/>
      <c r="D74" s="184"/>
      <c r="E74" s="184"/>
      <c r="F74" s="184"/>
      <c r="G74" s="185">
        <v>0.07</v>
      </c>
      <c r="H74" s="241">
        <f>H73*G74</f>
        <v>147556.4286</v>
      </c>
      <c r="I74" s="241">
        <f>H74/12</f>
        <v>12296.369050000001</v>
      </c>
      <c r="J74" s="241">
        <f t="shared" si="14"/>
        <v>1.3200044066814092</v>
      </c>
      <c r="K74" s="250">
        <f t="shared" si="15"/>
        <v>0.6134036112244241</v>
      </c>
      <c r="L74" s="241">
        <f>L73*0.07</f>
        <v>1.3556181636390705</v>
      </c>
      <c r="M74" s="241">
        <f>M73*0.07</f>
        <v>0.08825933400605451</v>
      </c>
      <c r="N74" s="241">
        <f>N73*0.07</f>
        <v>1.38220400095225</v>
      </c>
      <c r="O74" s="241">
        <f>O73*0.07</f>
        <v>0.10117289649397773</v>
      </c>
      <c r="P74" s="237">
        <f>P73*0.07</f>
        <v>1.1594896079610106</v>
      </c>
    </row>
    <row r="75" spans="1:16" ht="15" customHeight="1" hidden="1">
      <c r="A75" s="183" t="s">
        <v>525</v>
      </c>
      <c r="B75" s="184"/>
      <c r="C75" s="184"/>
      <c r="D75" s="184">
        <v>12</v>
      </c>
      <c r="E75" s="184">
        <f>E4</f>
        <v>9315.400000000001</v>
      </c>
      <c r="F75" s="184">
        <f>D75*E75</f>
        <v>111784.80000000002</v>
      </c>
      <c r="G75" s="185">
        <v>0</v>
      </c>
      <c r="H75" s="241">
        <f>F75*G75</f>
        <v>0</v>
      </c>
      <c r="I75" s="241">
        <f>H75/12</f>
        <v>0</v>
      </c>
      <c r="J75" s="241">
        <f>I75/$E$4</f>
        <v>0</v>
      </c>
      <c r="K75" s="250">
        <f t="shared" si="15"/>
        <v>0.6134036112244241</v>
      </c>
      <c r="L75" s="241">
        <f t="shared" si="17"/>
        <v>0</v>
      </c>
      <c r="M75" s="250">
        <f>1677.9/9315.4</f>
        <v>0.1801210898082745</v>
      </c>
      <c r="N75" s="241">
        <f>H75*M75/12/1677.9</f>
        <v>0</v>
      </c>
      <c r="O75" s="250">
        <f t="shared" si="16"/>
        <v>0.20647529896730146</v>
      </c>
      <c r="P75" s="237">
        <f t="shared" si="12"/>
        <v>0</v>
      </c>
    </row>
    <row r="76" spans="1:16" s="69" customFormat="1" ht="15" customHeight="1">
      <c r="A76" s="183" t="s">
        <v>553</v>
      </c>
      <c r="B76" s="184"/>
      <c r="C76" s="184"/>
      <c r="D76" s="184">
        <v>12</v>
      </c>
      <c r="E76" s="184">
        <v>5714.1</v>
      </c>
      <c r="F76" s="184">
        <f>D76*E76</f>
        <v>68569.20000000001</v>
      </c>
      <c r="G76" s="185">
        <v>20.93</v>
      </c>
      <c r="H76" s="241">
        <f>F76*G76</f>
        <v>1435153.3560000001</v>
      </c>
      <c r="I76" s="241">
        <f t="shared" si="10"/>
        <v>119596.11300000001</v>
      </c>
      <c r="J76" s="241"/>
      <c r="K76" s="250"/>
      <c r="L76" s="241" t="s">
        <v>364</v>
      </c>
      <c r="M76" s="241" t="s">
        <v>364</v>
      </c>
      <c r="N76" s="241" t="s">
        <v>364</v>
      </c>
      <c r="O76" s="241" t="s">
        <v>364</v>
      </c>
      <c r="P76" s="237" t="s">
        <v>364</v>
      </c>
    </row>
    <row r="77" spans="1:16" s="69" customFormat="1" ht="15" customHeight="1">
      <c r="A77" s="183" t="s">
        <v>554</v>
      </c>
      <c r="B77" s="184"/>
      <c r="C77" s="184"/>
      <c r="D77" s="184">
        <v>12</v>
      </c>
      <c r="E77" s="184">
        <v>1677.9</v>
      </c>
      <c r="F77" s="184">
        <f>D77*E77</f>
        <v>20134.800000000003</v>
      </c>
      <c r="G77" s="185">
        <v>21.34</v>
      </c>
      <c r="H77" s="241">
        <f>F77*G77</f>
        <v>429676.63200000004</v>
      </c>
      <c r="I77" s="241">
        <f t="shared" si="10"/>
        <v>35806.386000000006</v>
      </c>
      <c r="J77" s="241"/>
      <c r="K77" s="250"/>
      <c r="L77" s="241" t="s">
        <v>364</v>
      </c>
      <c r="M77" s="241" t="s">
        <v>364</v>
      </c>
      <c r="N77" s="241" t="s">
        <v>364</v>
      </c>
      <c r="O77" s="241" t="s">
        <v>364</v>
      </c>
      <c r="P77" s="237" t="s">
        <v>364</v>
      </c>
    </row>
    <row r="78" spans="1:16" s="69" customFormat="1" ht="15" customHeight="1">
      <c r="A78" s="183" t="s">
        <v>555</v>
      </c>
      <c r="B78" s="184"/>
      <c r="C78" s="184"/>
      <c r="D78" s="184">
        <v>12</v>
      </c>
      <c r="E78" s="184">
        <v>1923.4</v>
      </c>
      <c r="F78" s="184">
        <f>D78*E78</f>
        <v>23080.800000000003</v>
      </c>
      <c r="G78" s="185">
        <v>17.9</v>
      </c>
      <c r="H78" s="241">
        <f>F78*G78</f>
        <v>413146.32</v>
      </c>
      <c r="I78" s="241">
        <f t="shared" si="10"/>
        <v>34428.86</v>
      </c>
      <c r="J78" s="241"/>
      <c r="K78" s="250"/>
      <c r="L78" s="241" t="s">
        <v>364</v>
      </c>
      <c r="M78" s="241" t="s">
        <v>364</v>
      </c>
      <c r="N78" s="241" t="s">
        <v>364</v>
      </c>
      <c r="O78" s="241" t="s">
        <v>364</v>
      </c>
      <c r="P78" s="237" t="s">
        <v>364</v>
      </c>
    </row>
    <row r="79" spans="1:16" s="69" customFormat="1" ht="15" customHeight="1" thickBot="1">
      <c r="A79" s="183" t="s">
        <v>556</v>
      </c>
      <c r="B79" s="184"/>
      <c r="C79" s="184"/>
      <c r="D79" s="184"/>
      <c r="E79" s="184"/>
      <c r="F79" s="184"/>
      <c r="G79" s="185">
        <v>0.01</v>
      </c>
      <c r="H79" s="241">
        <f>(H76+H77+H78)*G79</f>
        <v>22779.76308</v>
      </c>
      <c r="I79" s="241">
        <f t="shared" si="10"/>
        <v>1898.31359</v>
      </c>
      <c r="J79" s="241">
        <f t="shared" si="14"/>
        <v>0.20378229490950467</v>
      </c>
      <c r="K79" s="250">
        <f t="shared" si="15"/>
        <v>0.6134036112244241</v>
      </c>
      <c r="L79" s="241">
        <f>I76*G79/E76</f>
        <v>0.2093</v>
      </c>
      <c r="M79" s="250">
        <f>1677.9/9315.4</f>
        <v>0.1801210898082745</v>
      </c>
      <c r="N79" s="241">
        <f>I77*G79/E77</f>
        <v>0.21340000000000003</v>
      </c>
      <c r="O79" s="250">
        <f t="shared" si="16"/>
        <v>0.20647529896730146</v>
      </c>
      <c r="P79" s="237">
        <f>I78*G79/E78</f>
        <v>0.17900000000000002</v>
      </c>
    </row>
    <row r="80" spans="1:16" ht="21.75" customHeight="1" thickBot="1">
      <c r="A80" s="437" t="s">
        <v>302</v>
      </c>
      <c r="B80" s="438"/>
      <c r="C80" s="438"/>
      <c r="D80" s="438"/>
      <c r="E80" s="438"/>
      <c r="F80" s="438"/>
      <c r="G80" s="438"/>
      <c r="H80" s="438"/>
      <c r="I80" s="438"/>
      <c r="J80" s="95">
        <f>J49+J50+J51+J55+J56+J57+J58+J74+J75+J79</f>
        <v>20.38099251132533</v>
      </c>
      <c r="K80" s="249">
        <f>K49+K50+K51+K55+K56+K57+K58+K74+K75+K79</f>
        <v>6.13403611224424</v>
      </c>
      <c r="L80" s="95">
        <f>L73+L74+L75+L79</f>
        <v>20.930891929911503</v>
      </c>
      <c r="M80" s="95">
        <f>M73+M74+M75+M79</f>
        <v>1.7093491422805251</v>
      </c>
      <c r="N80" s="95">
        <f>N73+N74+N75+N79</f>
        <v>21.341375443127248</v>
      </c>
      <c r="O80" s="95">
        <f>O73+O74+O75+O79</f>
        <v>1.9594505871996912</v>
      </c>
      <c r="P80" s="96">
        <f>P73+P74+P75+P79</f>
        <v>17.902626864546875</v>
      </c>
    </row>
    <row r="81" spans="1:16" ht="21.75" customHeight="1">
      <c r="A81" s="222"/>
      <c r="B81" s="222"/>
      <c r="C81" s="222"/>
      <c r="D81" s="222"/>
      <c r="E81" s="222"/>
      <c r="F81" s="222"/>
      <c r="G81" s="222"/>
      <c r="H81" s="222"/>
      <c r="I81" s="222"/>
      <c r="J81" s="186"/>
      <c r="K81" s="256"/>
      <c r="L81" s="186"/>
      <c r="M81" s="256"/>
      <c r="N81" s="186"/>
      <c r="O81" s="256"/>
      <c r="P81" s="186"/>
    </row>
    <row r="82" spans="1:16" ht="15" customHeight="1">
      <c r="A82" s="165" t="s">
        <v>509</v>
      </c>
      <c r="B82" s="166"/>
      <c r="C82" s="166"/>
      <c r="D82" s="166"/>
      <c r="E82" s="167"/>
      <c r="F82" s="167"/>
      <c r="G82" s="166"/>
      <c r="H82" s="168"/>
      <c r="I82" s="169" t="s">
        <v>510</v>
      </c>
      <c r="J82" s="72"/>
      <c r="K82" s="257"/>
      <c r="L82" s="72"/>
      <c r="M82" s="257"/>
      <c r="N82" s="72"/>
      <c r="O82" s="257"/>
      <c r="P82" s="72"/>
    </row>
    <row r="83" spans="1:16" ht="15" customHeight="1">
      <c r="A83" s="170"/>
      <c r="B83" s="166"/>
      <c r="C83" s="166"/>
      <c r="D83" s="166"/>
      <c r="E83" s="167"/>
      <c r="F83" s="167"/>
      <c r="G83" s="166"/>
      <c r="H83" s="171" t="s">
        <v>557</v>
      </c>
      <c r="I83" s="169"/>
      <c r="J83" s="72"/>
      <c r="K83" s="257"/>
      <c r="L83" s="72"/>
      <c r="M83" s="257"/>
      <c r="N83" s="72"/>
      <c r="O83" s="257"/>
      <c r="P83" s="72"/>
    </row>
    <row r="84" spans="1:16" ht="15" customHeight="1">
      <c r="A84" s="170"/>
      <c r="B84" s="166"/>
      <c r="C84" s="166"/>
      <c r="D84" s="166"/>
      <c r="E84" s="167"/>
      <c r="F84" s="167"/>
      <c r="G84" s="166"/>
      <c r="H84" s="171"/>
      <c r="I84" s="169"/>
      <c r="J84" s="72"/>
      <c r="K84" s="257"/>
      <c r="L84" s="72"/>
      <c r="M84" s="257"/>
      <c r="N84" s="72"/>
      <c r="O84" s="257"/>
      <c r="P84" s="72"/>
    </row>
    <row r="85" spans="1:16" ht="15" customHeight="1">
      <c r="A85" s="170"/>
      <c r="B85" s="166"/>
      <c r="C85" s="166"/>
      <c r="D85" s="166"/>
      <c r="E85" s="167"/>
      <c r="F85" s="167"/>
      <c r="G85" s="166"/>
      <c r="H85" s="171"/>
      <c r="I85" s="169"/>
      <c r="J85" s="72"/>
      <c r="K85" s="257"/>
      <c r="L85" s="72"/>
      <c r="M85" s="257"/>
      <c r="N85" s="72"/>
      <c r="O85" s="257"/>
      <c r="P85" s="72"/>
    </row>
  </sheetData>
  <mergeCells count="4">
    <mergeCell ref="A1:I1"/>
    <mergeCell ref="B2:C2"/>
    <mergeCell ref="A48:F48"/>
    <mergeCell ref="A80:I8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1"/>
  <sheetViews>
    <sheetView workbookViewId="0" topLeftCell="A1">
      <selection activeCell="I200" sqref="I200"/>
    </sheetView>
  </sheetViews>
  <sheetFormatPr defaultColWidth="9.00390625" defaultRowHeight="15" customHeight="1" outlineLevelRow="3" outlineLevelCol="1"/>
  <cols>
    <col min="1" max="1" width="66.00390625" style="72" customWidth="1"/>
    <col min="2" max="4" width="11.375" style="163" hidden="1" customWidth="1" outlineLevel="1"/>
    <col min="5" max="5" width="12.50390625" style="128" hidden="1" customWidth="1" outlineLevel="1"/>
    <col min="6" max="6" width="12.625" style="128" hidden="1" customWidth="1" outlineLevel="1"/>
    <col min="7" max="7" width="11.375" style="163" hidden="1" customWidth="1" outlineLevel="1"/>
    <col min="8" max="8" width="17.125" style="164" customWidth="1" collapsed="1"/>
    <col min="9" max="9" width="17.125" style="164" customWidth="1"/>
    <col min="10" max="10" width="18.625" style="69" customWidth="1"/>
    <col min="11" max="16384" width="9.125" style="72" customWidth="1"/>
  </cols>
  <sheetData>
    <row r="1" spans="1:10" s="69" customFormat="1" ht="15" customHeight="1">
      <c r="A1" s="66" t="s">
        <v>323</v>
      </c>
      <c r="B1" s="67"/>
      <c r="C1" s="67"/>
      <c r="D1" s="67"/>
      <c r="E1" s="68"/>
      <c r="F1" s="68"/>
      <c r="G1" s="439" t="s">
        <v>323</v>
      </c>
      <c r="H1" s="439"/>
      <c r="I1" s="439"/>
      <c r="J1" s="439"/>
    </row>
    <row r="2" spans="1:10" s="69" customFormat="1" ht="15" customHeight="1">
      <c r="A2" s="69" t="s">
        <v>324</v>
      </c>
      <c r="B2" s="67"/>
      <c r="C2" s="67"/>
      <c r="D2" s="67"/>
      <c r="E2" s="68"/>
      <c r="F2" s="68"/>
      <c r="G2" s="439" t="s">
        <v>325</v>
      </c>
      <c r="H2" s="439"/>
      <c r="I2" s="439"/>
      <c r="J2" s="439"/>
    </row>
    <row r="3" spans="1:10" s="69" customFormat="1" ht="15" customHeight="1">
      <c r="A3" s="69" t="s">
        <v>326</v>
      </c>
      <c r="B3" s="67"/>
      <c r="C3" s="67"/>
      <c r="D3" s="67"/>
      <c r="E3" s="68"/>
      <c r="F3" s="68"/>
      <c r="G3" s="439" t="s">
        <v>327</v>
      </c>
      <c r="H3" s="439"/>
      <c r="I3" s="439"/>
      <c r="J3" s="439"/>
    </row>
    <row r="4" spans="2:10" s="69" customFormat="1" ht="15" customHeight="1">
      <c r="B4" s="67"/>
      <c r="C4" s="67"/>
      <c r="D4" s="67"/>
      <c r="E4" s="68"/>
      <c r="F4" s="68"/>
      <c r="G4" s="70"/>
      <c r="H4" s="70"/>
      <c r="I4" s="70"/>
      <c r="J4" s="70"/>
    </row>
    <row r="5" spans="2:10" s="69" customFormat="1" ht="15" customHeight="1">
      <c r="B5" s="67"/>
      <c r="C5" s="67"/>
      <c r="D5" s="67"/>
      <c r="E5" s="68"/>
      <c r="F5" s="68"/>
      <c r="G5" s="70"/>
      <c r="H5" s="70"/>
      <c r="I5" s="70"/>
      <c r="J5" s="70"/>
    </row>
    <row r="6" spans="1:9" ht="18" customHeight="1" collapsed="1">
      <c r="A6" s="419" t="s">
        <v>558</v>
      </c>
      <c r="B6" s="419"/>
      <c r="C6" s="419"/>
      <c r="D6" s="419"/>
      <c r="E6" s="419"/>
      <c r="F6" s="419"/>
      <c r="G6" s="419"/>
      <c r="H6" s="419"/>
      <c r="I6" s="419"/>
    </row>
    <row r="7" spans="1:9" s="69" customFormat="1" ht="15" customHeight="1" hidden="1" outlineLevel="1">
      <c r="A7" s="173" t="s">
        <v>328</v>
      </c>
      <c r="B7" s="420"/>
      <c r="C7" s="420"/>
      <c r="D7" s="73"/>
      <c r="E7" s="74" t="s">
        <v>329</v>
      </c>
      <c r="F7" s="74"/>
      <c r="G7" s="75"/>
      <c r="H7" s="62" t="s">
        <v>288</v>
      </c>
      <c r="I7" s="71" t="s">
        <v>330</v>
      </c>
    </row>
    <row r="8" spans="1:9" s="69" customFormat="1" ht="15" customHeight="1" hidden="1" outlineLevel="1">
      <c r="A8" s="76" t="s">
        <v>331</v>
      </c>
      <c r="B8" s="77">
        <v>2010</v>
      </c>
      <c r="C8" s="77">
        <v>2011</v>
      </c>
      <c r="D8" s="77"/>
      <c r="E8" s="78">
        <f>C8-B8</f>
        <v>1</v>
      </c>
      <c r="F8" s="78"/>
      <c r="G8" s="78"/>
      <c r="H8" s="79"/>
      <c r="I8" s="80"/>
    </row>
    <row r="9" spans="1:9" s="69" customFormat="1" ht="15" customHeight="1" hidden="1" outlineLevel="1">
      <c r="A9" s="81" t="s">
        <v>332</v>
      </c>
      <c r="B9" s="82"/>
      <c r="C9" s="82"/>
      <c r="D9" s="82"/>
      <c r="E9" s="82">
        <v>1146.5</v>
      </c>
      <c r="F9" s="82"/>
      <c r="G9" s="83"/>
      <c r="H9" s="84"/>
      <c r="I9" s="85"/>
    </row>
    <row r="10" spans="1:9" s="69" customFormat="1" ht="15" customHeight="1" hidden="1" outlineLevel="1">
      <c r="A10" s="81" t="s">
        <v>25</v>
      </c>
      <c r="B10" s="82"/>
      <c r="C10" s="82"/>
      <c r="D10" s="82"/>
      <c r="E10" s="82">
        <v>12</v>
      </c>
      <c r="F10" s="82"/>
      <c r="G10" s="83"/>
      <c r="H10" s="84"/>
      <c r="I10" s="85"/>
    </row>
    <row r="11" spans="1:9" s="69" customFormat="1" ht="15" customHeight="1" hidden="1" outlineLevel="1">
      <c r="A11" s="81" t="s">
        <v>333</v>
      </c>
      <c r="B11" s="82"/>
      <c r="C11" s="82"/>
      <c r="D11" s="82"/>
      <c r="E11" s="82">
        <v>439.6</v>
      </c>
      <c r="F11" s="82"/>
      <c r="G11" s="83"/>
      <c r="H11" s="84"/>
      <c r="I11" s="85"/>
    </row>
    <row r="12" spans="1:9" s="69" customFormat="1" ht="15" customHeight="1" hidden="1" outlineLevel="1">
      <c r="A12" s="81" t="s">
        <v>334</v>
      </c>
      <c r="B12" s="82"/>
      <c r="C12" s="82"/>
      <c r="D12" s="82"/>
      <c r="E12" s="82">
        <v>0</v>
      </c>
      <c r="F12" s="82"/>
      <c r="G12" s="83"/>
      <c r="H12" s="84"/>
      <c r="I12" s="85"/>
    </row>
    <row r="13" spans="1:9" s="69" customFormat="1" ht="15" customHeight="1" hidden="1" outlineLevel="1">
      <c r="A13" s="81" t="s">
        <v>559</v>
      </c>
      <c r="B13" s="82"/>
      <c r="C13" s="82"/>
      <c r="D13" s="82"/>
      <c r="E13" s="82">
        <v>0</v>
      </c>
      <c r="F13" s="82"/>
      <c r="G13" s="83"/>
      <c r="H13" s="84"/>
      <c r="I13" s="85"/>
    </row>
    <row r="14" spans="1:9" s="69" customFormat="1" ht="15" customHeight="1" hidden="1" outlineLevel="1">
      <c r="A14" s="81" t="s">
        <v>336</v>
      </c>
      <c r="B14" s="82"/>
      <c r="C14" s="82"/>
      <c r="D14" s="82"/>
      <c r="E14" s="82">
        <v>0</v>
      </c>
      <c r="F14" s="82"/>
      <c r="G14" s="83"/>
      <c r="H14" s="84"/>
      <c r="I14" s="85"/>
    </row>
    <row r="15" spans="1:9" s="69" customFormat="1" ht="15" customHeight="1" hidden="1" outlineLevel="1">
      <c r="A15" s="81" t="s">
        <v>337</v>
      </c>
      <c r="B15" s="82"/>
      <c r="C15" s="82"/>
      <c r="D15" s="82"/>
      <c r="E15" s="82">
        <v>35.6</v>
      </c>
      <c r="F15" s="82"/>
      <c r="G15" s="83"/>
      <c r="H15" s="84"/>
      <c r="I15" s="85"/>
    </row>
    <row r="16" spans="1:9" s="69" customFormat="1" ht="15" customHeight="1" hidden="1" outlineLevel="1">
      <c r="A16" s="81" t="s">
        <v>338</v>
      </c>
      <c r="B16" s="82"/>
      <c r="C16" s="82"/>
      <c r="D16" s="82"/>
      <c r="E16" s="82">
        <v>462</v>
      </c>
      <c r="F16" s="82"/>
      <c r="G16" s="83"/>
      <c r="H16" s="84"/>
      <c r="I16" s="85"/>
    </row>
    <row r="17" spans="1:9" ht="15" customHeight="1" hidden="1" outlineLevel="1">
      <c r="A17" s="81" t="s">
        <v>339</v>
      </c>
      <c r="B17" s="82"/>
      <c r="C17" s="82"/>
      <c r="D17" s="82"/>
      <c r="E17" s="82">
        <v>0</v>
      </c>
      <c r="F17" s="82"/>
      <c r="G17" s="83"/>
      <c r="H17" s="84"/>
      <c r="I17" s="85"/>
    </row>
    <row r="18" spans="1:9" ht="15" customHeight="1" hidden="1" outlineLevel="1">
      <c r="A18" s="81" t="s">
        <v>340</v>
      </c>
      <c r="B18" s="82"/>
      <c r="C18" s="82"/>
      <c r="D18" s="82"/>
      <c r="E18" s="82">
        <v>0</v>
      </c>
      <c r="F18" s="82"/>
      <c r="G18" s="83"/>
      <c r="H18" s="84"/>
      <c r="I18" s="85"/>
    </row>
    <row r="19" spans="1:9" ht="15" customHeight="1" hidden="1" outlineLevel="1">
      <c r="A19" s="81" t="s">
        <v>341</v>
      </c>
      <c r="B19" s="82"/>
      <c r="C19" s="82"/>
      <c r="D19" s="82"/>
      <c r="E19" s="82">
        <v>0</v>
      </c>
      <c r="F19" s="82"/>
      <c r="G19" s="83"/>
      <c r="H19" s="84"/>
      <c r="I19" s="85"/>
    </row>
    <row r="20" spans="1:9" ht="15" customHeight="1" hidden="1" outlineLevel="1">
      <c r="A20" s="81" t="s">
        <v>342</v>
      </c>
      <c r="B20" s="82"/>
      <c r="C20" s="82"/>
      <c r="D20" s="82"/>
      <c r="E20" s="82">
        <v>0</v>
      </c>
      <c r="F20" s="82"/>
      <c r="G20" s="83"/>
      <c r="H20" s="84"/>
      <c r="I20" s="85"/>
    </row>
    <row r="21" spans="1:9" ht="15" customHeight="1" hidden="1" outlineLevel="1">
      <c r="A21" s="81" t="s">
        <v>343</v>
      </c>
      <c r="B21" s="82"/>
      <c r="C21" s="82"/>
      <c r="D21" s="82"/>
      <c r="E21" s="82">
        <v>3</v>
      </c>
      <c r="F21" s="82"/>
      <c r="G21" s="83"/>
      <c r="H21" s="84"/>
      <c r="I21" s="85"/>
    </row>
    <row r="22" spans="1:9" ht="15" customHeight="1" hidden="1" outlineLevel="1">
      <c r="A22" s="81" t="s">
        <v>344</v>
      </c>
      <c r="B22" s="82"/>
      <c r="C22" s="82"/>
      <c r="D22" s="82"/>
      <c r="E22" s="82">
        <v>439.6</v>
      </c>
      <c r="F22" s="82"/>
      <c r="G22" s="83"/>
      <c r="H22" s="84"/>
      <c r="I22" s="85"/>
    </row>
    <row r="23" spans="1:9" ht="15" customHeight="1" hidden="1" outlineLevel="1">
      <c r="A23" s="81" t="s">
        <v>345</v>
      </c>
      <c r="B23" s="82"/>
      <c r="C23" s="82"/>
      <c r="D23" s="82"/>
      <c r="E23" s="82">
        <v>1</v>
      </c>
      <c r="F23" s="82"/>
      <c r="G23" s="83"/>
      <c r="H23" s="84"/>
      <c r="I23" s="85"/>
    </row>
    <row r="24" spans="1:9" ht="15" customHeight="1" hidden="1" outlineLevel="1">
      <c r="A24" s="81" t="s">
        <v>346</v>
      </c>
      <c r="B24" s="82"/>
      <c r="C24" s="82"/>
      <c r="D24" s="82"/>
      <c r="E24" s="82">
        <f>12*3</f>
        <v>36</v>
      </c>
      <c r="F24" s="82"/>
      <c r="G24" s="83"/>
      <c r="H24" s="84"/>
      <c r="I24" s="85"/>
    </row>
    <row r="25" spans="1:9" ht="15" customHeight="1" hidden="1" outlineLevel="1">
      <c r="A25" s="81" t="s">
        <v>347</v>
      </c>
      <c r="B25" s="82"/>
      <c r="C25" s="82"/>
      <c r="D25" s="82"/>
      <c r="E25" s="82">
        <v>0</v>
      </c>
      <c r="F25" s="82"/>
      <c r="G25" s="83"/>
      <c r="H25" s="84"/>
      <c r="I25" s="85"/>
    </row>
    <row r="26" spans="1:9" ht="15" customHeight="1" hidden="1" outlineLevel="1">
      <c r="A26" s="81" t="s">
        <v>348</v>
      </c>
      <c r="B26" s="82"/>
      <c r="C26" s="82"/>
      <c r="D26" s="82"/>
      <c r="E26" s="82">
        <v>1</v>
      </c>
      <c r="F26" s="82"/>
      <c r="G26" s="83"/>
      <c r="H26" s="84"/>
      <c r="I26" s="85"/>
    </row>
    <row r="27" spans="1:9" ht="15" customHeight="1" hidden="1" outlineLevel="1">
      <c r="A27" s="81" t="s">
        <v>349</v>
      </c>
      <c r="B27" s="82"/>
      <c r="C27" s="82"/>
      <c r="D27" s="82"/>
      <c r="E27" s="82">
        <v>0</v>
      </c>
      <c r="F27" s="82"/>
      <c r="G27" s="83"/>
      <c r="H27" s="84"/>
      <c r="I27" s="85"/>
    </row>
    <row r="28" spans="1:9" ht="15" customHeight="1" hidden="1" outlineLevel="1">
      <c r="A28" s="81" t="s">
        <v>31</v>
      </c>
      <c r="B28" s="82"/>
      <c r="C28" s="82"/>
      <c r="D28" s="82"/>
      <c r="E28" s="82">
        <v>0</v>
      </c>
      <c r="F28" s="82"/>
      <c r="G28" s="83"/>
      <c r="H28" s="84"/>
      <c r="I28" s="85"/>
    </row>
    <row r="29" spans="1:9" ht="15" customHeight="1" hidden="1" outlineLevel="1">
      <c r="A29" s="81" t="s">
        <v>350</v>
      </c>
      <c r="B29" s="82"/>
      <c r="C29" s="82"/>
      <c r="D29" s="82"/>
      <c r="E29" s="82">
        <v>0</v>
      </c>
      <c r="F29" s="82"/>
      <c r="G29" s="83"/>
      <c r="H29" s="84"/>
      <c r="I29" s="85"/>
    </row>
    <row r="30" spans="1:9" ht="15" customHeight="1" hidden="1" outlineLevel="1">
      <c r="A30" s="81" t="s">
        <v>351</v>
      </c>
      <c r="B30" s="82"/>
      <c r="C30" s="82"/>
      <c r="D30" s="82"/>
      <c r="E30" s="82">
        <v>12</v>
      </c>
      <c r="F30" s="82"/>
      <c r="G30" s="83"/>
      <c r="H30" s="84"/>
      <c r="I30" s="85"/>
    </row>
    <row r="31" spans="1:9" ht="15" customHeight="1" hidden="1" outlineLevel="1">
      <c r="A31" s="81" t="s">
        <v>352</v>
      </c>
      <c r="B31" s="82"/>
      <c r="C31" s="82"/>
      <c r="D31" s="82"/>
      <c r="E31" s="82">
        <v>12</v>
      </c>
      <c r="F31" s="82"/>
      <c r="G31" s="83"/>
      <c r="H31" s="84"/>
      <c r="I31" s="85"/>
    </row>
    <row r="32" spans="1:9" ht="15" customHeight="1" hidden="1" outlineLevel="1">
      <c r="A32" s="81" t="s">
        <v>353</v>
      </c>
      <c r="B32" s="82"/>
      <c r="C32" s="82"/>
      <c r="D32" s="82"/>
      <c r="E32" s="82"/>
      <c r="F32" s="82"/>
      <c r="G32" s="83"/>
      <c r="H32" s="84"/>
      <c r="I32" s="85"/>
    </row>
    <row r="33" spans="1:9" s="69" customFormat="1" ht="15" customHeight="1" hidden="1" outlineLevel="1">
      <c r="A33" s="81" t="s">
        <v>354</v>
      </c>
      <c r="B33" s="82"/>
      <c r="C33" s="82"/>
      <c r="D33" s="82"/>
      <c r="E33" s="82"/>
      <c r="F33" s="82"/>
      <c r="G33" s="83"/>
      <c r="H33" s="84"/>
      <c r="I33" s="85"/>
    </row>
    <row r="34" spans="1:9" s="69" customFormat="1" ht="15" customHeight="1" hidden="1" outlineLevel="1">
      <c r="A34" s="81" t="s">
        <v>355</v>
      </c>
      <c r="B34" s="82"/>
      <c r="C34" s="82"/>
      <c r="D34" s="82"/>
      <c r="E34" s="82"/>
      <c r="F34" s="82"/>
      <c r="G34" s="83"/>
      <c r="H34" s="84"/>
      <c r="I34" s="85"/>
    </row>
    <row r="35" spans="1:9" s="69" customFormat="1" ht="15" customHeight="1" hidden="1" outlineLevel="1">
      <c r="A35" s="81" t="s">
        <v>356</v>
      </c>
      <c r="B35" s="82"/>
      <c r="C35" s="82"/>
      <c r="D35" s="82"/>
      <c r="E35" s="82"/>
      <c r="F35" s="82"/>
      <c r="G35" s="83"/>
      <c r="H35" s="84"/>
      <c r="I35" s="85"/>
    </row>
    <row r="36" spans="1:9" s="69" customFormat="1" ht="15" customHeight="1" hidden="1" outlineLevel="1">
      <c r="A36" s="81" t="s">
        <v>357</v>
      </c>
      <c r="B36" s="82"/>
      <c r="C36" s="82"/>
      <c r="D36" s="82"/>
      <c r="E36" s="82" t="s">
        <v>516</v>
      </c>
      <c r="F36" s="82"/>
      <c r="G36" s="83"/>
      <c r="H36" s="84"/>
      <c r="I36" s="85"/>
    </row>
    <row r="37" spans="1:9" s="69" customFormat="1" ht="15" customHeight="1" hidden="1" outlineLevel="1">
      <c r="A37" s="174" t="s">
        <v>517</v>
      </c>
      <c r="B37" s="78"/>
      <c r="C37" s="78"/>
      <c r="D37" s="78"/>
      <c r="E37" s="175"/>
      <c r="F37" s="175"/>
      <c r="G37" s="78"/>
      <c r="H37" s="175" t="e">
        <f>#REF!</f>
        <v>#REF!</v>
      </c>
      <c r="I37" s="225" t="e">
        <f>H37/12</f>
        <v>#REF!</v>
      </c>
    </row>
    <row r="38" spans="1:9" s="69" customFormat="1" ht="15" customHeight="1" hidden="1" outlineLevel="1">
      <c r="A38" s="178" t="s">
        <v>518</v>
      </c>
      <c r="B38" s="83"/>
      <c r="C38" s="83"/>
      <c r="D38" s="83"/>
      <c r="E38" s="179"/>
      <c r="F38" s="179"/>
      <c r="G38" s="83"/>
      <c r="H38" s="179" t="e">
        <f>#REF!</f>
        <v>#REF!</v>
      </c>
      <c r="I38" s="226" t="e">
        <f>H38/12</f>
        <v>#REF!</v>
      </c>
    </row>
    <row r="39" spans="1:9" s="69" customFormat="1" ht="15" customHeight="1" hidden="1" outlineLevel="1">
      <c r="A39" s="178" t="s">
        <v>519</v>
      </c>
      <c r="B39" s="83"/>
      <c r="C39" s="83"/>
      <c r="D39" s="83"/>
      <c r="E39" s="179"/>
      <c r="F39" s="179"/>
      <c r="G39" s="83"/>
      <c r="H39" s="179" t="e">
        <f>#REF!</f>
        <v>#REF!</v>
      </c>
      <c r="I39" s="226" t="e">
        <f>H39/12</f>
        <v>#REF!</v>
      </c>
    </row>
    <row r="40" spans="1:9" s="69" customFormat="1" ht="15" customHeight="1" hidden="1" outlineLevel="1">
      <c r="A40" s="178" t="s">
        <v>520</v>
      </c>
      <c r="B40" s="83"/>
      <c r="C40" s="83"/>
      <c r="D40" s="83"/>
      <c r="E40" s="179"/>
      <c r="F40" s="179"/>
      <c r="G40" s="83"/>
      <c r="H40" s="179" t="e">
        <f>#REF!</f>
        <v>#REF!</v>
      </c>
      <c r="I40" s="226" t="e">
        <f>H40/5.5</f>
        <v>#REF!</v>
      </c>
    </row>
    <row r="41" spans="1:9" s="69" customFormat="1" ht="15" customHeight="1" hidden="1" outlineLevel="1">
      <c r="A41" s="178" t="s">
        <v>521</v>
      </c>
      <c r="B41" s="83"/>
      <c r="C41" s="83"/>
      <c r="D41" s="83"/>
      <c r="E41" s="179"/>
      <c r="F41" s="179"/>
      <c r="G41" s="83"/>
      <c r="H41" s="179" t="e">
        <f>#REF!</f>
        <v>#REF!</v>
      </c>
      <c r="I41" s="226" t="e">
        <f>H41/6.5</f>
        <v>#REF!</v>
      </c>
    </row>
    <row r="42" spans="1:9" s="69" customFormat="1" ht="15" customHeight="1" hidden="1" outlineLevel="1">
      <c r="A42" s="227" t="s">
        <v>522</v>
      </c>
      <c r="B42" s="88"/>
      <c r="C42" s="88"/>
      <c r="D42" s="88"/>
      <c r="E42" s="228"/>
      <c r="F42" s="228"/>
      <c r="G42" s="88"/>
      <c r="H42" s="228">
        <f>F51</f>
        <v>0</v>
      </c>
      <c r="I42" s="229">
        <f>H42/12</f>
        <v>0</v>
      </c>
    </row>
    <row r="43" spans="1:10" s="91" customFormat="1" ht="20.25" customHeight="1" collapsed="1" thickBot="1">
      <c r="A43" s="440" t="s">
        <v>287</v>
      </c>
      <c r="B43" s="440"/>
      <c r="C43" s="440"/>
      <c r="D43" s="440"/>
      <c r="E43" s="440"/>
      <c r="F43" s="440"/>
      <c r="G43" s="231" t="s">
        <v>358</v>
      </c>
      <c r="H43" s="63" t="s">
        <v>288</v>
      </c>
      <c r="I43" s="63" t="s">
        <v>294</v>
      </c>
      <c r="J43" s="63" t="s">
        <v>300</v>
      </c>
    </row>
    <row r="44" spans="1:10" s="97" customFormat="1" ht="31.5" thickBot="1">
      <c r="A44" s="232" t="s">
        <v>274</v>
      </c>
      <c r="B44" s="233" t="s">
        <v>359</v>
      </c>
      <c r="C44" s="233" t="s">
        <v>360</v>
      </c>
      <c r="D44" s="233" t="s">
        <v>361</v>
      </c>
      <c r="E44" s="233" t="s">
        <v>329</v>
      </c>
      <c r="F44" s="233" t="s">
        <v>362</v>
      </c>
      <c r="G44" s="221" t="s">
        <v>363</v>
      </c>
      <c r="H44" s="234">
        <v>46271.21</v>
      </c>
      <c r="I44" s="234">
        <f aca="true" t="shared" si="0" ref="I44:I51">H44/12</f>
        <v>3855.9341666666664</v>
      </c>
      <c r="J44" s="235">
        <f>I44/$E$9</f>
        <v>3.363222125308911</v>
      </c>
    </row>
    <row r="45" spans="1:10" s="97" customFormat="1" ht="31.5" thickBot="1">
      <c r="A45" s="232" t="s">
        <v>273</v>
      </c>
      <c r="B45" s="233" t="s">
        <v>359</v>
      </c>
      <c r="C45" s="233" t="s">
        <v>360</v>
      </c>
      <c r="D45" s="233" t="s">
        <v>361</v>
      </c>
      <c r="E45" s="233" t="s">
        <v>329</v>
      </c>
      <c r="F45" s="233" t="s">
        <v>362</v>
      </c>
      <c r="G45" s="221" t="s">
        <v>363</v>
      </c>
      <c r="H45" s="234">
        <v>28295.87</v>
      </c>
      <c r="I45" s="234">
        <f t="shared" si="0"/>
        <v>2357.9891666666667</v>
      </c>
      <c r="J45" s="235">
        <f>I45/$E$9</f>
        <v>2.056684837912487</v>
      </c>
    </row>
    <row r="46" spans="1:10" s="118" customFormat="1" ht="31.5" thickBot="1">
      <c r="A46" s="232" t="s">
        <v>275</v>
      </c>
      <c r="B46" s="233" t="s">
        <v>359</v>
      </c>
      <c r="C46" s="233" t="s">
        <v>360</v>
      </c>
      <c r="D46" s="233" t="s">
        <v>361</v>
      </c>
      <c r="E46" s="233" t="s">
        <v>329</v>
      </c>
      <c r="F46" s="233" t="s">
        <v>362</v>
      </c>
      <c r="G46" s="221" t="s">
        <v>363</v>
      </c>
      <c r="H46" s="234">
        <v>41336.53</v>
      </c>
      <c r="I46" s="234">
        <f t="shared" si="0"/>
        <v>3444.710833333333</v>
      </c>
      <c r="J46" s="235">
        <f>I46/$E$9</f>
        <v>3.0045449920046514</v>
      </c>
    </row>
    <row r="47" spans="1:10" ht="15" customHeight="1" hidden="1" outlineLevel="2">
      <c r="A47" s="239" t="s">
        <v>384</v>
      </c>
      <c r="B47" s="128"/>
      <c r="C47" s="128"/>
      <c r="D47" s="127"/>
      <c r="E47" s="164"/>
      <c r="F47" s="128">
        <v>0</v>
      </c>
      <c r="G47" s="163">
        <v>766</v>
      </c>
      <c r="H47" s="164">
        <f>F47*G47</f>
        <v>0</v>
      </c>
      <c r="I47" s="164">
        <f t="shared" si="0"/>
        <v>0</v>
      </c>
      <c r="J47" s="237">
        <f aca="true" t="shared" si="1" ref="J47:J67">I47/$E$9</f>
        <v>0</v>
      </c>
    </row>
    <row r="48" spans="1:10" ht="15" customHeight="1" hidden="1" outlineLevel="2">
      <c r="A48" s="239" t="s">
        <v>385</v>
      </c>
      <c r="B48" s="128"/>
      <c r="C48" s="128"/>
      <c r="D48" s="127"/>
      <c r="E48" s="164"/>
      <c r="F48" s="128">
        <v>0</v>
      </c>
      <c r="G48" s="163">
        <v>680</v>
      </c>
      <c r="H48" s="164">
        <f>F48*G48</f>
        <v>0</v>
      </c>
      <c r="I48" s="164">
        <f t="shared" si="0"/>
        <v>0</v>
      </c>
      <c r="J48" s="237">
        <f t="shared" si="1"/>
        <v>0</v>
      </c>
    </row>
    <row r="49" spans="1:10" ht="15" customHeight="1" hidden="1" outlineLevel="2">
      <c r="A49" s="239" t="s">
        <v>386</v>
      </c>
      <c r="B49" s="128"/>
      <c r="C49" s="128"/>
      <c r="D49" s="127"/>
      <c r="E49" s="164"/>
      <c r="F49" s="128">
        <v>0</v>
      </c>
      <c r="G49" s="163">
        <v>790</v>
      </c>
      <c r="H49" s="164">
        <f>F49*G49</f>
        <v>0</v>
      </c>
      <c r="I49" s="164">
        <f t="shared" si="0"/>
        <v>0</v>
      </c>
      <c r="J49" s="237">
        <f t="shared" si="1"/>
        <v>0</v>
      </c>
    </row>
    <row r="50" spans="1:10" s="118" customFormat="1" ht="31.5" hidden="1" collapsed="1" thickBot="1">
      <c r="A50" s="92" t="s">
        <v>282</v>
      </c>
      <c r="B50" s="93" t="s">
        <v>359</v>
      </c>
      <c r="C50" s="93" t="s">
        <v>360</v>
      </c>
      <c r="D50" s="93" t="s">
        <v>361</v>
      </c>
      <c r="E50" s="93" t="s">
        <v>329</v>
      </c>
      <c r="F50" s="93" t="s">
        <v>362</v>
      </c>
      <c r="G50" s="94" t="s">
        <v>363</v>
      </c>
      <c r="H50" s="95">
        <f>H51+H142+H143+H144+H145+H165+H173</f>
        <v>0</v>
      </c>
      <c r="I50" s="95">
        <f t="shared" si="0"/>
        <v>0</v>
      </c>
      <c r="J50" s="96">
        <f t="shared" si="1"/>
        <v>0</v>
      </c>
    </row>
    <row r="51" spans="1:10" s="69" customFormat="1" ht="15" customHeight="1" hidden="1" outlineLevel="1">
      <c r="A51" s="198" t="s">
        <v>387</v>
      </c>
      <c r="B51" s="99" t="s">
        <v>364</v>
      </c>
      <c r="C51" s="99" t="s">
        <v>364</v>
      </c>
      <c r="D51" s="99" t="s">
        <v>364</v>
      </c>
      <c r="E51" s="99" t="s">
        <v>364</v>
      </c>
      <c r="F51" s="99">
        <f>SUM(F52:F141)</f>
        <v>0</v>
      </c>
      <c r="G51" s="100">
        <v>6000</v>
      </c>
      <c r="H51" s="100">
        <f>F51*G51</f>
        <v>0</v>
      </c>
      <c r="I51" s="100">
        <f t="shared" si="0"/>
        <v>0</v>
      </c>
      <c r="J51" s="236">
        <f t="shared" si="1"/>
        <v>0</v>
      </c>
    </row>
    <row r="52" spans="1:10" s="138" customFormat="1" ht="15" customHeight="1" hidden="1" outlineLevel="3">
      <c r="A52" s="136" t="s">
        <v>388</v>
      </c>
      <c r="B52" s="137" t="s">
        <v>389</v>
      </c>
      <c r="C52" s="137">
        <v>440</v>
      </c>
      <c r="D52" s="137">
        <v>12</v>
      </c>
      <c r="E52" s="112"/>
      <c r="F52" s="110">
        <f>E52/C52*D52</f>
        <v>0</v>
      </c>
      <c r="G52" s="112"/>
      <c r="H52" s="111"/>
      <c r="I52" s="111"/>
      <c r="J52" s="237">
        <f t="shared" si="1"/>
        <v>0</v>
      </c>
    </row>
    <row r="53" spans="1:10" s="138" customFormat="1" ht="15" customHeight="1" hidden="1" outlineLevel="3">
      <c r="A53" s="136" t="s">
        <v>390</v>
      </c>
      <c r="B53" s="137" t="s">
        <v>389</v>
      </c>
      <c r="C53" s="137">
        <v>420</v>
      </c>
      <c r="D53" s="137">
        <v>12</v>
      </c>
      <c r="E53" s="112"/>
      <c r="F53" s="110">
        <f aca="true" t="shared" si="2" ref="F53:F116">E53/C53*D53</f>
        <v>0</v>
      </c>
      <c r="G53" s="112"/>
      <c r="H53" s="111"/>
      <c r="I53" s="111"/>
      <c r="J53" s="237">
        <f t="shared" si="1"/>
        <v>0</v>
      </c>
    </row>
    <row r="54" spans="1:10" s="138" customFormat="1" ht="15" customHeight="1" hidden="1" outlineLevel="3">
      <c r="A54" s="136" t="s">
        <v>391</v>
      </c>
      <c r="B54" s="137" t="s">
        <v>389</v>
      </c>
      <c r="C54" s="137">
        <v>410</v>
      </c>
      <c r="D54" s="137">
        <v>12</v>
      </c>
      <c r="E54" s="112"/>
      <c r="F54" s="110">
        <f t="shared" si="2"/>
        <v>0</v>
      </c>
      <c r="G54" s="112"/>
      <c r="H54" s="111"/>
      <c r="I54" s="111"/>
      <c r="J54" s="237">
        <f t="shared" si="1"/>
        <v>0</v>
      </c>
    </row>
    <row r="55" spans="1:10" s="138" customFormat="1" ht="15" customHeight="1" hidden="1" outlineLevel="3">
      <c r="A55" s="136" t="s">
        <v>392</v>
      </c>
      <c r="B55" s="137" t="s">
        <v>389</v>
      </c>
      <c r="C55" s="137">
        <v>460</v>
      </c>
      <c r="D55" s="137">
        <v>12</v>
      </c>
      <c r="E55" s="112"/>
      <c r="F55" s="110">
        <f t="shared" si="2"/>
        <v>0</v>
      </c>
      <c r="G55" s="112"/>
      <c r="H55" s="111"/>
      <c r="I55" s="111"/>
      <c r="J55" s="237">
        <f t="shared" si="1"/>
        <v>0</v>
      </c>
    </row>
    <row r="56" spans="1:10" s="138" customFormat="1" ht="15" customHeight="1" hidden="1" outlineLevel="3">
      <c r="A56" s="136" t="s">
        <v>393</v>
      </c>
      <c r="B56" s="137" t="s">
        <v>389</v>
      </c>
      <c r="C56" s="137">
        <v>450</v>
      </c>
      <c r="D56" s="137">
        <v>12</v>
      </c>
      <c r="E56" s="112"/>
      <c r="F56" s="110">
        <f t="shared" si="2"/>
        <v>0</v>
      </c>
      <c r="G56" s="112"/>
      <c r="H56" s="111"/>
      <c r="I56" s="111"/>
      <c r="J56" s="237">
        <f t="shared" si="1"/>
        <v>0</v>
      </c>
    </row>
    <row r="57" spans="1:10" s="138" customFormat="1" ht="15" customHeight="1" hidden="1" outlineLevel="3">
      <c r="A57" s="136" t="s">
        <v>394</v>
      </c>
      <c r="B57" s="137" t="s">
        <v>389</v>
      </c>
      <c r="C57" s="137">
        <v>440</v>
      </c>
      <c r="D57" s="137">
        <v>12</v>
      </c>
      <c r="E57" s="112"/>
      <c r="F57" s="110">
        <f t="shared" si="2"/>
        <v>0</v>
      </c>
      <c r="G57" s="112"/>
      <c r="H57" s="111"/>
      <c r="I57" s="111"/>
      <c r="J57" s="237">
        <f t="shared" si="1"/>
        <v>0</v>
      </c>
    </row>
    <row r="58" spans="1:10" s="138" customFormat="1" ht="15" customHeight="1" hidden="1" outlineLevel="3">
      <c r="A58" s="136" t="s">
        <v>395</v>
      </c>
      <c r="B58" s="137" t="s">
        <v>389</v>
      </c>
      <c r="C58" s="137">
        <v>370</v>
      </c>
      <c r="D58" s="137">
        <v>12</v>
      </c>
      <c r="E58" s="112"/>
      <c r="F58" s="110">
        <f t="shared" si="2"/>
        <v>0</v>
      </c>
      <c r="G58" s="112"/>
      <c r="H58" s="111"/>
      <c r="I58" s="111"/>
      <c r="J58" s="237">
        <f t="shared" si="1"/>
        <v>0</v>
      </c>
    </row>
    <row r="59" spans="1:10" s="138" customFormat="1" ht="15" customHeight="1" hidden="1" outlineLevel="3">
      <c r="A59" s="136" t="s">
        <v>396</v>
      </c>
      <c r="B59" s="137" t="s">
        <v>389</v>
      </c>
      <c r="C59" s="137">
        <v>360</v>
      </c>
      <c r="D59" s="137">
        <v>12</v>
      </c>
      <c r="E59" s="112"/>
      <c r="F59" s="110">
        <f t="shared" si="2"/>
        <v>0</v>
      </c>
      <c r="G59" s="112"/>
      <c r="H59" s="111"/>
      <c r="I59" s="111"/>
      <c r="J59" s="237">
        <f t="shared" si="1"/>
        <v>0</v>
      </c>
    </row>
    <row r="60" spans="1:10" s="138" customFormat="1" ht="15" customHeight="1" hidden="1" outlineLevel="3">
      <c r="A60" s="136" t="s">
        <v>397</v>
      </c>
      <c r="B60" s="137" t="s">
        <v>389</v>
      </c>
      <c r="C60" s="137">
        <v>350</v>
      </c>
      <c r="D60" s="137">
        <v>12</v>
      </c>
      <c r="E60" s="112"/>
      <c r="F60" s="110">
        <f t="shared" si="2"/>
        <v>0</v>
      </c>
      <c r="G60" s="112"/>
      <c r="H60" s="111"/>
      <c r="I60" s="111"/>
      <c r="J60" s="237">
        <f t="shared" si="1"/>
        <v>0</v>
      </c>
    </row>
    <row r="61" spans="1:10" s="138" customFormat="1" ht="15" customHeight="1" hidden="1" outlineLevel="3">
      <c r="A61" s="136" t="s">
        <v>398</v>
      </c>
      <c r="B61" s="137" t="s">
        <v>389</v>
      </c>
      <c r="C61" s="137">
        <v>490</v>
      </c>
      <c r="D61" s="137">
        <v>12</v>
      </c>
      <c r="E61" s="112"/>
      <c r="F61" s="110">
        <f t="shared" si="2"/>
        <v>0</v>
      </c>
      <c r="G61" s="112"/>
      <c r="H61" s="111"/>
      <c r="I61" s="111"/>
      <c r="J61" s="237">
        <f t="shared" si="1"/>
        <v>0</v>
      </c>
    </row>
    <row r="62" spans="1:10" s="138" customFormat="1" ht="15" customHeight="1" hidden="1" outlineLevel="3">
      <c r="A62" s="136" t="s">
        <v>399</v>
      </c>
      <c r="B62" s="137" t="s">
        <v>389</v>
      </c>
      <c r="C62" s="137">
        <v>470</v>
      </c>
      <c r="D62" s="137">
        <v>12</v>
      </c>
      <c r="E62" s="112"/>
      <c r="F62" s="110">
        <f t="shared" si="2"/>
        <v>0</v>
      </c>
      <c r="G62" s="112"/>
      <c r="H62" s="111"/>
      <c r="I62" s="111"/>
      <c r="J62" s="237">
        <f t="shared" si="1"/>
        <v>0</v>
      </c>
    </row>
    <row r="63" spans="1:10" s="138" customFormat="1" ht="15" customHeight="1" hidden="1" outlineLevel="3">
      <c r="A63" s="136" t="s">
        <v>400</v>
      </c>
      <c r="B63" s="137" t="s">
        <v>389</v>
      </c>
      <c r="C63" s="137">
        <v>450</v>
      </c>
      <c r="D63" s="137">
        <v>12</v>
      </c>
      <c r="E63" s="112"/>
      <c r="F63" s="110">
        <f t="shared" si="2"/>
        <v>0</v>
      </c>
      <c r="G63" s="112"/>
      <c r="H63" s="111"/>
      <c r="I63" s="111"/>
      <c r="J63" s="237">
        <f t="shared" si="1"/>
        <v>0</v>
      </c>
    </row>
    <row r="64" spans="1:10" s="138" customFormat="1" ht="15" customHeight="1" hidden="1" outlineLevel="3">
      <c r="A64" s="136" t="s">
        <v>401</v>
      </c>
      <c r="B64" s="137" t="s">
        <v>389</v>
      </c>
      <c r="C64" s="137">
        <v>540</v>
      </c>
      <c r="D64" s="137">
        <v>12</v>
      </c>
      <c r="E64" s="112"/>
      <c r="F64" s="110">
        <f t="shared" si="2"/>
        <v>0</v>
      </c>
      <c r="G64" s="112"/>
      <c r="H64" s="111"/>
      <c r="I64" s="111"/>
      <c r="J64" s="237">
        <f t="shared" si="1"/>
        <v>0</v>
      </c>
    </row>
    <row r="65" spans="1:10" s="138" customFormat="1" ht="15" customHeight="1" hidden="1" outlineLevel="3">
      <c r="A65" s="136" t="s">
        <v>402</v>
      </c>
      <c r="B65" s="137" t="s">
        <v>389</v>
      </c>
      <c r="C65" s="137">
        <v>530</v>
      </c>
      <c r="D65" s="137">
        <v>12</v>
      </c>
      <c r="E65" s="112"/>
      <c r="F65" s="110">
        <f t="shared" si="2"/>
        <v>0</v>
      </c>
      <c r="G65" s="112"/>
      <c r="H65" s="111"/>
      <c r="I65" s="111"/>
      <c r="J65" s="237">
        <f t="shared" si="1"/>
        <v>0</v>
      </c>
    </row>
    <row r="66" spans="1:10" s="138" customFormat="1" ht="15" customHeight="1" hidden="1" outlineLevel="3">
      <c r="A66" s="136" t="s">
        <v>403</v>
      </c>
      <c r="B66" s="137" t="s">
        <v>389</v>
      </c>
      <c r="C66" s="137">
        <v>510</v>
      </c>
      <c r="D66" s="137">
        <v>12</v>
      </c>
      <c r="E66" s="112"/>
      <c r="F66" s="110">
        <f t="shared" si="2"/>
        <v>0</v>
      </c>
      <c r="G66" s="112"/>
      <c r="H66" s="111"/>
      <c r="I66" s="111"/>
      <c r="J66" s="237">
        <f t="shared" si="1"/>
        <v>0</v>
      </c>
    </row>
    <row r="67" spans="1:10" s="138" customFormat="1" ht="15" customHeight="1" hidden="1" outlineLevel="3">
      <c r="A67" s="136" t="s">
        <v>404</v>
      </c>
      <c r="B67" s="137" t="s">
        <v>389</v>
      </c>
      <c r="C67" s="137">
        <v>480</v>
      </c>
      <c r="D67" s="137">
        <v>12</v>
      </c>
      <c r="E67" s="112"/>
      <c r="F67" s="110">
        <f t="shared" si="2"/>
        <v>0</v>
      </c>
      <c r="G67" s="112"/>
      <c r="H67" s="111"/>
      <c r="I67" s="111"/>
      <c r="J67" s="237">
        <f t="shared" si="1"/>
        <v>0</v>
      </c>
    </row>
    <row r="68" spans="1:10" s="138" customFormat="1" ht="15" customHeight="1" hidden="1" outlineLevel="3">
      <c r="A68" s="136" t="s">
        <v>405</v>
      </c>
      <c r="B68" s="137" t="s">
        <v>389</v>
      </c>
      <c r="C68" s="137">
        <v>470</v>
      </c>
      <c r="D68" s="137">
        <v>12</v>
      </c>
      <c r="E68" s="112"/>
      <c r="F68" s="110">
        <f t="shared" si="2"/>
        <v>0</v>
      </c>
      <c r="G68" s="112"/>
      <c r="H68" s="111"/>
      <c r="I68" s="111"/>
      <c r="J68" s="237">
        <f aca="true" t="shared" si="3" ref="J68:J131">I68/$E$9</f>
        <v>0</v>
      </c>
    </row>
    <row r="69" spans="1:10" s="138" customFormat="1" ht="15" customHeight="1" hidden="1" outlineLevel="3">
      <c r="A69" s="136" t="s">
        <v>406</v>
      </c>
      <c r="B69" s="137" t="s">
        <v>389</v>
      </c>
      <c r="C69" s="137">
        <v>440</v>
      </c>
      <c r="D69" s="137">
        <v>12</v>
      </c>
      <c r="E69" s="112"/>
      <c r="F69" s="110">
        <f t="shared" si="2"/>
        <v>0</v>
      </c>
      <c r="G69" s="112"/>
      <c r="H69" s="111"/>
      <c r="I69" s="111"/>
      <c r="J69" s="237">
        <f t="shared" si="3"/>
        <v>0</v>
      </c>
    </row>
    <row r="70" spans="1:10" s="138" customFormat="1" ht="15" customHeight="1" hidden="1" outlineLevel="3">
      <c r="A70" s="136" t="s">
        <v>407</v>
      </c>
      <c r="B70" s="137" t="s">
        <v>389</v>
      </c>
      <c r="C70" s="137">
        <v>510</v>
      </c>
      <c r="D70" s="137">
        <v>12</v>
      </c>
      <c r="E70" s="112"/>
      <c r="F70" s="110">
        <f t="shared" si="2"/>
        <v>0</v>
      </c>
      <c r="G70" s="112"/>
      <c r="H70" s="111"/>
      <c r="I70" s="111"/>
      <c r="J70" s="237">
        <f t="shared" si="3"/>
        <v>0</v>
      </c>
    </row>
    <row r="71" spans="1:10" s="138" customFormat="1" ht="15" customHeight="1" hidden="1" outlineLevel="3">
      <c r="A71" s="136" t="s">
        <v>408</v>
      </c>
      <c r="B71" s="137" t="s">
        <v>389</v>
      </c>
      <c r="C71" s="137">
        <v>490</v>
      </c>
      <c r="D71" s="137">
        <v>12</v>
      </c>
      <c r="E71" s="112"/>
      <c r="F71" s="110">
        <f t="shared" si="2"/>
        <v>0</v>
      </c>
      <c r="G71" s="112"/>
      <c r="H71" s="111"/>
      <c r="I71" s="111"/>
      <c r="J71" s="237">
        <f t="shared" si="3"/>
        <v>0</v>
      </c>
    </row>
    <row r="72" spans="1:10" s="138" customFormat="1" ht="15" customHeight="1" hidden="1" outlineLevel="3">
      <c r="A72" s="136" t="s">
        <v>409</v>
      </c>
      <c r="B72" s="137" t="s">
        <v>389</v>
      </c>
      <c r="C72" s="137">
        <v>470</v>
      </c>
      <c r="D72" s="137">
        <v>12</v>
      </c>
      <c r="E72" s="112"/>
      <c r="F72" s="110">
        <f t="shared" si="2"/>
        <v>0</v>
      </c>
      <c r="G72" s="112"/>
      <c r="H72" s="111"/>
      <c r="I72" s="111"/>
      <c r="J72" s="237">
        <f t="shared" si="3"/>
        <v>0</v>
      </c>
    </row>
    <row r="73" spans="1:10" s="138" customFormat="1" ht="15" customHeight="1" hidden="1" outlineLevel="3">
      <c r="A73" s="136" t="s">
        <v>410</v>
      </c>
      <c r="B73" s="137" t="s">
        <v>389</v>
      </c>
      <c r="C73" s="137">
        <v>540</v>
      </c>
      <c r="D73" s="137">
        <v>12</v>
      </c>
      <c r="E73" s="112"/>
      <c r="F73" s="110">
        <f t="shared" si="2"/>
        <v>0</v>
      </c>
      <c r="G73" s="112"/>
      <c r="H73" s="111"/>
      <c r="I73" s="111"/>
      <c r="J73" s="237">
        <f t="shared" si="3"/>
        <v>0</v>
      </c>
    </row>
    <row r="74" spans="1:10" s="138" customFormat="1" ht="15" customHeight="1" hidden="1" outlineLevel="3">
      <c r="A74" s="136" t="s">
        <v>411</v>
      </c>
      <c r="B74" s="137" t="s">
        <v>389</v>
      </c>
      <c r="C74" s="137">
        <v>530</v>
      </c>
      <c r="D74" s="137">
        <v>12</v>
      </c>
      <c r="E74" s="112"/>
      <c r="F74" s="110">
        <f t="shared" si="2"/>
        <v>0</v>
      </c>
      <c r="G74" s="112"/>
      <c r="H74" s="111"/>
      <c r="I74" s="111"/>
      <c r="J74" s="237">
        <f t="shared" si="3"/>
        <v>0</v>
      </c>
    </row>
    <row r="75" spans="1:10" s="138" customFormat="1" ht="15" customHeight="1" hidden="1" outlineLevel="3">
      <c r="A75" s="136" t="s">
        <v>412</v>
      </c>
      <c r="B75" s="137" t="s">
        <v>389</v>
      </c>
      <c r="C75" s="137">
        <v>510</v>
      </c>
      <c r="D75" s="137">
        <v>12</v>
      </c>
      <c r="E75" s="112"/>
      <c r="F75" s="110">
        <f t="shared" si="2"/>
        <v>0</v>
      </c>
      <c r="G75" s="112"/>
      <c r="H75" s="111"/>
      <c r="I75" s="111"/>
      <c r="J75" s="237">
        <f t="shared" si="3"/>
        <v>0</v>
      </c>
    </row>
    <row r="76" spans="1:10" s="138" customFormat="1" ht="15" customHeight="1" hidden="1" outlineLevel="3">
      <c r="A76" s="136" t="s">
        <v>413</v>
      </c>
      <c r="B76" s="137" t="s">
        <v>389</v>
      </c>
      <c r="C76" s="137">
        <v>470</v>
      </c>
      <c r="D76" s="137">
        <v>12</v>
      </c>
      <c r="E76" s="112"/>
      <c r="F76" s="110">
        <f t="shared" si="2"/>
        <v>0</v>
      </c>
      <c r="G76" s="112"/>
      <c r="H76" s="111"/>
      <c r="I76" s="111"/>
      <c r="J76" s="237">
        <f t="shared" si="3"/>
        <v>0</v>
      </c>
    </row>
    <row r="77" spans="1:10" s="138" customFormat="1" ht="15" customHeight="1" hidden="1" outlineLevel="3">
      <c r="A77" s="136" t="s">
        <v>414</v>
      </c>
      <c r="B77" s="137" t="s">
        <v>389</v>
      </c>
      <c r="C77" s="137">
        <v>460</v>
      </c>
      <c r="D77" s="137">
        <v>12</v>
      </c>
      <c r="E77" s="112"/>
      <c r="F77" s="110">
        <f t="shared" si="2"/>
        <v>0</v>
      </c>
      <c r="G77" s="112"/>
      <c r="H77" s="111"/>
      <c r="I77" s="111"/>
      <c r="J77" s="237">
        <f t="shared" si="3"/>
        <v>0</v>
      </c>
    </row>
    <row r="78" spans="1:10" s="138" customFormat="1" ht="15" customHeight="1" hidden="1" outlineLevel="3">
      <c r="A78" s="136" t="s">
        <v>415</v>
      </c>
      <c r="B78" s="137" t="s">
        <v>389</v>
      </c>
      <c r="C78" s="137">
        <v>450</v>
      </c>
      <c r="D78" s="137">
        <v>12</v>
      </c>
      <c r="E78" s="112"/>
      <c r="F78" s="110">
        <f t="shared" si="2"/>
        <v>0</v>
      </c>
      <c r="G78" s="112"/>
      <c r="H78" s="111"/>
      <c r="I78" s="111"/>
      <c r="J78" s="237">
        <f t="shared" si="3"/>
        <v>0</v>
      </c>
    </row>
    <row r="79" spans="1:10" s="138" customFormat="1" ht="15" customHeight="1" hidden="1" outlineLevel="3">
      <c r="A79" s="136" t="s">
        <v>416</v>
      </c>
      <c r="B79" s="137" t="s">
        <v>389</v>
      </c>
      <c r="C79" s="137">
        <v>560</v>
      </c>
      <c r="D79" s="137">
        <v>12</v>
      </c>
      <c r="E79" s="112"/>
      <c r="F79" s="110">
        <f t="shared" si="2"/>
        <v>0</v>
      </c>
      <c r="G79" s="112"/>
      <c r="H79" s="111"/>
      <c r="I79" s="111"/>
      <c r="J79" s="237">
        <f t="shared" si="3"/>
        <v>0</v>
      </c>
    </row>
    <row r="80" spans="1:10" s="138" customFormat="1" ht="15" customHeight="1" hidden="1" outlineLevel="3">
      <c r="A80" s="136" t="s">
        <v>417</v>
      </c>
      <c r="B80" s="137" t="s">
        <v>389</v>
      </c>
      <c r="C80" s="137">
        <v>540</v>
      </c>
      <c r="D80" s="137">
        <v>12</v>
      </c>
      <c r="E80" s="112"/>
      <c r="F80" s="110">
        <f t="shared" si="2"/>
        <v>0</v>
      </c>
      <c r="G80" s="112"/>
      <c r="H80" s="111"/>
      <c r="I80" s="111"/>
      <c r="J80" s="237">
        <f t="shared" si="3"/>
        <v>0</v>
      </c>
    </row>
    <row r="81" spans="1:10" s="138" customFormat="1" ht="15" customHeight="1" hidden="1" outlineLevel="3">
      <c r="A81" s="136" t="s">
        <v>418</v>
      </c>
      <c r="B81" s="137" t="s">
        <v>389</v>
      </c>
      <c r="C81" s="137">
        <v>520</v>
      </c>
      <c r="D81" s="137">
        <v>12</v>
      </c>
      <c r="E81" s="112"/>
      <c r="F81" s="110">
        <f t="shared" si="2"/>
        <v>0</v>
      </c>
      <c r="G81" s="112"/>
      <c r="H81" s="111"/>
      <c r="I81" s="111"/>
      <c r="J81" s="237">
        <f t="shared" si="3"/>
        <v>0</v>
      </c>
    </row>
    <row r="82" spans="1:10" s="138" customFormat="1" ht="15" customHeight="1" hidden="1" outlineLevel="3">
      <c r="A82" s="136" t="s">
        <v>419</v>
      </c>
      <c r="B82" s="137" t="s">
        <v>389</v>
      </c>
      <c r="C82" s="137">
        <v>580</v>
      </c>
      <c r="D82" s="137">
        <v>12</v>
      </c>
      <c r="E82" s="112"/>
      <c r="F82" s="110">
        <f t="shared" si="2"/>
        <v>0</v>
      </c>
      <c r="G82" s="112"/>
      <c r="H82" s="111"/>
      <c r="I82" s="111"/>
      <c r="J82" s="237">
        <f t="shared" si="3"/>
        <v>0</v>
      </c>
    </row>
    <row r="83" spans="1:10" s="138" customFormat="1" ht="15" customHeight="1" hidden="1" outlineLevel="3">
      <c r="A83" s="136" t="s">
        <v>420</v>
      </c>
      <c r="B83" s="137" t="s">
        <v>389</v>
      </c>
      <c r="C83" s="137">
        <v>580</v>
      </c>
      <c r="D83" s="137">
        <v>12</v>
      </c>
      <c r="E83" s="112"/>
      <c r="F83" s="110">
        <f t="shared" si="2"/>
        <v>0</v>
      </c>
      <c r="G83" s="112"/>
      <c r="H83" s="111"/>
      <c r="I83" s="111"/>
      <c r="J83" s="237">
        <f t="shared" si="3"/>
        <v>0</v>
      </c>
    </row>
    <row r="84" spans="1:10" s="138" customFormat="1" ht="15" customHeight="1" hidden="1" outlineLevel="3">
      <c r="A84" s="136" t="s">
        <v>421</v>
      </c>
      <c r="B84" s="137" t="s">
        <v>389</v>
      </c>
      <c r="C84" s="137">
        <v>560</v>
      </c>
      <c r="D84" s="137">
        <v>12</v>
      </c>
      <c r="E84" s="112"/>
      <c r="F84" s="110">
        <f t="shared" si="2"/>
        <v>0</v>
      </c>
      <c r="G84" s="112"/>
      <c r="H84" s="111"/>
      <c r="I84" s="111"/>
      <c r="J84" s="237">
        <f t="shared" si="3"/>
        <v>0</v>
      </c>
    </row>
    <row r="85" spans="1:10" s="138" customFormat="1" ht="15" customHeight="1" hidden="1" outlineLevel="3">
      <c r="A85" s="136" t="s">
        <v>422</v>
      </c>
      <c r="B85" s="137" t="s">
        <v>389</v>
      </c>
      <c r="C85" s="137">
        <v>510</v>
      </c>
      <c r="D85" s="137">
        <v>12</v>
      </c>
      <c r="E85" s="112"/>
      <c r="F85" s="110">
        <f t="shared" si="2"/>
        <v>0</v>
      </c>
      <c r="G85" s="112"/>
      <c r="H85" s="111"/>
      <c r="I85" s="111"/>
      <c r="J85" s="237">
        <f t="shared" si="3"/>
        <v>0</v>
      </c>
    </row>
    <row r="86" spans="1:10" s="138" customFormat="1" ht="15" customHeight="1" hidden="1" outlineLevel="3">
      <c r="A86" s="136" t="s">
        <v>423</v>
      </c>
      <c r="B86" s="137" t="s">
        <v>389</v>
      </c>
      <c r="C86" s="137">
        <v>510</v>
      </c>
      <c r="D86" s="137">
        <v>12</v>
      </c>
      <c r="E86" s="112"/>
      <c r="F86" s="110">
        <f t="shared" si="2"/>
        <v>0</v>
      </c>
      <c r="G86" s="112"/>
      <c r="H86" s="111"/>
      <c r="I86" s="111"/>
      <c r="J86" s="237">
        <f t="shared" si="3"/>
        <v>0</v>
      </c>
    </row>
    <row r="87" spans="1:10" s="138" customFormat="1" ht="15" customHeight="1" hidden="1" outlineLevel="3">
      <c r="A87" s="136" t="s">
        <v>424</v>
      </c>
      <c r="B87" s="137" t="s">
        <v>389</v>
      </c>
      <c r="C87" s="137">
        <v>490</v>
      </c>
      <c r="D87" s="137">
        <v>12</v>
      </c>
      <c r="E87" s="112"/>
      <c r="F87" s="110">
        <f t="shared" si="2"/>
        <v>0</v>
      </c>
      <c r="G87" s="112"/>
      <c r="H87" s="111"/>
      <c r="I87" s="111"/>
      <c r="J87" s="237">
        <f t="shared" si="3"/>
        <v>0</v>
      </c>
    </row>
    <row r="88" spans="1:10" s="138" customFormat="1" ht="15" customHeight="1" hidden="1" outlineLevel="3">
      <c r="A88" s="136" t="s">
        <v>425</v>
      </c>
      <c r="B88" s="137" t="s">
        <v>389</v>
      </c>
      <c r="C88" s="137">
        <v>610</v>
      </c>
      <c r="D88" s="137">
        <v>12</v>
      </c>
      <c r="E88" s="112"/>
      <c r="F88" s="110">
        <f t="shared" si="2"/>
        <v>0</v>
      </c>
      <c r="G88" s="112"/>
      <c r="H88" s="111"/>
      <c r="I88" s="111"/>
      <c r="J88" s="237">
        <f t="shared" si="3"/>
        <v>0</v>
      </c>
    </row>
    <row r="89" spans="1:10" s="138" customFormat="1" ht="15" customHeight="1" hidden="1" outlineLevel="3">
      <c r="A89" s="136" t="s">
        <v>426</v>
      </c>
      <c r="B89" s="137" t="s">
        <v>389</v>
      </c>
      <c r="C89" s="137">
        <v>490</v>
      </c>
      <c r="D89" s="137">
        <v>12</v>
      </c>
      <c r="E89" s="112"/>
      <c r="F89" s="110">
        <f t="shared" si="2"/>
        <v>0</v>
      </c>
      <c r="G89" s="112"/>
      <c r="H89" s="111"/>
      <c r="I89" s="111"/>
      <c r="J89" s="237">
        <f t="shared" si="3"/>
        <v>0</v>
      </c>
    </row>
    <row r="90" spans="1:10" s="138" customFormat="1" ht="15" customHeight="1" hidden="1" outlineLevel="3">
      <c r="A90" s="136" t="s">
        <v>427</v>
      </c>
      <c r="B90" s="137" t="s">
        <v>389</v>
      </c>
      <c r="C90" s="137">
        <v>470</v>
      </c>
      <c r="D90" s="137">
        <v>12</v>
      </c>
      <c r="E90" s="112"/>
      <c r="F90" s="110">
        <f t="shared" si="2"/>
        <v>0</v>
      </c>
      <c r="G90" s="112"/>
      <c r="H90" s="111"/>
      <c r="I90" s="111"/>
      <c r="J90" s="237">
        <f t="shared" si="3"/>
        <v>0</v>
      </c>
    </row>
    <row r="91" spans="1:10" s="138" customFormat="1" ht="15" customHeight="1" hidden="1" outlineLevel="3">
      <c r="A91" s="136" t="s">
        <v>428</v>
      </c>
      <c r="B91" s="137" t="s">
        <v>389</v>
      </c>
      <c r="C91" s="137">
        <v>640</v>
      </c>
      <c r="D91" s="137">
        <v>12</v>
      </c>
      <c r="E91" s="112"/>
      <c r="F91" s="110">
        <f t="shared" si="2"/>
        <v>0</v>
      </c>
      <c r="G91" s="112"/>
      <c r="H91" s="111"/>
      <c r="I91" s="111"/>
      <c r="J91" s="237">
        <f t="shared" si="3"/>
        <v>0</v>
      </c>
    </row>
    <row r="92" spans="1:10" s="138" customFormat="1" ht="15" customHeight="1" hidden="1" outlineLevel="3">
      <c r="A92" s="136" t="s">
        <v>429</v>
      </c>
      <c r="B92" s="137" t="s">
        <v>389</v>
      </c>
      <c r="C92" s="137">
        <v>630</v>
      </c>
      <c r="D92" s="137">
        <v>12</v>
      </c>
      <c r="E92" s="112"/>
      <c r="F92" s="110">
        <f t="shared" si="2"/>
        <v>0</v>
      </c>
      <c r="G92" s="112"/>
      <c r="H92" s="111"/>
      <c r="I92" s="111"/>
      <c r="J92" s="237">
        <f t="shared" si="3"/>
        <v>0</v>
      </c>
    </row>
    <row r="93" spans="1:10" s="138" customFormat="1" ht="15" customHeight="1" hidden="1" outlineLevel="3">
      <c r="A93" s="136" t="s">
        <v>430</v>
      </c>
      <c r="B93" s="137" t="s">
        <v>389</v>
      </c>
      <c r="C93" s="137">
        <v>610</v>
      </c>
      <c r="D93" s="137">
        <v>12</v>
      </c>
      <c r="E93" s="112"/>
      <c r="F93" s="110">
        <f t="shared" si="2"/>
        <v>0</v>
      </c>
      <c r="G93" s="112"/>
      <c r="H93" s="111"/>
      <c r="I93" s="111"/>
      <c r="J93" s="237">
        <f t="shared" si="3"/>
        <v>0</v>
      </c>
    </row>
    <row r="94" spans="1:10" s="138" customFormat="1" ht="15" customHeight="1" hidden="1" outlineLevel="3">
      <c r="A94" s="136" t="s">
        <v>431</v>
      </c>
      <c r="B94" s="137" t="s">
        <v>389</v>
      </c>
      <c r="C94" s="137">
        <v>570</v>
      </c>
      <c r="D94" s="137">
        <v>12</v>
      </c>
      <c r="E94" s="112"/>
      <c r="F94" s="110">
        <f t="shared" si="2"/>
        <v>0</v>
      </c>
      <c r="G94" s="112"/>
      <c r="H94" s="111"/>
      <c r="I94" s="111"/>
      <c r="J94" s="237">
        <f t="shared" si="3"/>
        <v>0</v>
      </c>
    </row>
    <row r="95" spans="1:10" s="138" customFormat="1" ht="15" customHeight="1" hidden="1" outlineLevel="3">
      <c r="A95" s="136" t="s">
        <v>432</v>
      </c>
      <c r="B95" s="137" t="s">
        <v>389</v>
      </c>
      <c r="C95" s="137">
        <v>560</v>
      </c>
      <c r="D95" s="137">
        <v>12</v>
      </c>
      <c r="E95" s="112"/>
      <c r="F95" s="110">
        <f t="shared" si="2"/>
        <v>0</v>
      </c>
      <c r="G95" s="112"/>
      <c r="H95" s="111"/>
      <c r="I95" s="111"/>
      <c r="J95" s="237">
        <f t="shared" si="3"/>
        <v>0</v>
      </c>
    </row>
    <row r="96" spans="1:10" s="138" customFormat="1" ht="15" customHeight="1" hidden="1" outlineLevel="3">
      <c r="A96" s="136" t="s">
        <v>433</v>
      </c>
      <c r="B96" s="137" t="s">
        <v>389</v>
      </c>
      <c r="C96" s="137">
        <v>540</v>
      </c>
      <c r="D96" s="137">
        <v>12</v>
      </c>
      <c r="E96" s="112"/>
      <c r="F96" s="110">
        <f t="shared" si="2"/>
        <v>0</v>
      </c>
      <c r="G96" s="112"/>
      <c r="H96" s="111"/>
      <c r="I96" s="111"/>
      <c r="J96" s="237">
        <f t="shared" si="3"/>
        <v>0</v>
      </c>
    </row>
    <row r="97" spans="1:10" s="138" customFormat="1" ht="15" customHeight="1" hidden="1" outlineLevel="3">
      <c r="A97" s="136" t="s">
        <v>434</v>
      </c>
      <c r="B97" s="137" t="s">
        <v>389</v>
      </c>
      <c r="C97" s="137">
        <v>460</v>
      </c>
      <c r="D97" s="137">
        <v>12</v>
      </c>
      <c r="E97" s="112"/>
      <c r="F97" s="110">
        <f t="shared" si="2"/>
        <v>0</v>
      </c>
      <c r="G97" s="112"/>
      <c r="H97" s="111"/>
      <c r="I97" s="111"/>
      <c r="J97" s="237">
        <f t="shared" si="3"/>
        <v>0</v>
      </c>
    </row>
    <row r="98" spans="1:10" s="138" customFormat="1" ht="15" customHeight="1" hidden="1" outlineLevel="3">
      <c r="A98" s="136" t="s">
        <v>435</v>
      </c>
      <c r="B98" s="137" t="s">
        <v>389</v>
      </c>
      <c r="C98" s="137">
        <v>440</v>
      </c>
      <c r="D98" s="137">
        <v>12</v>
      </c>
      <c r="E98" s="112"/>
      <c r="F98" s="110">
        <f t="shared" si="2"/>
        <v>0</v>
      </c>
      <c r="G98" s="112"/>
      <c r="H98" s="111"/>
      <c r="I98" s="111"/>
      <c r="J98" s="237">
        <f t="shared" si="3"/>
        <v>0</v>
      </c>
    </row>
    <row r="99" spans="1:10" s="138" customFormat="1" ht="15" customHeight="1" hidden="1" outlineLevel="3">
      <c r="A99" s="136" t="s">
        <v>436</v>
      </c>
      <c r="B99" s="137" t="s">
        <v>389</v>
      </c>
      <c r="C99" s="137">
        <v>430</v>
      </c>
      <c r="D99" s="137">
        <v>12</v>
      </c>
      <c r="E99" s="112"/>
      <c r="F99" s="110">
        <f t="shared" si="2"/>
        <v>0</v>
      </c>
      <c r="G99" s="112"/>
      <c r="H99" s="111"/>
      <c r="I99" s="111"/>
      <c r="J99" s="237">
        <f t="shared" si="3"/>
        <v>0</v>
      </c>
    </row>
    <row r="100" spans="1:10" s="138" customFormat="1" ht="15" customHeight="1" hidden="1" outlineLevel="3">
      <c r="A100" s="136" t="s">
        <v>437</v>
      </c>
      <c r="B100" s="137" t="s">
        <v>389</v>
      </c>
      <c r="C100" s="112">
        <v>480</v>
      </c>
      <c r="D100" s="137">
        <v>12</v>
      </c>
      <c r="E100" s="112"/>
      <c r="F100" s="110">
        <f t="shared" si="2"/>
        <v>0</v>
      </c>
      <c r="G100" s="112"/>
      <c r="H100" s="111"/>
      <c r="I100" s="111"/>
      <c r="J100" s="237">
        <f t="shared" si="3"/>
        <v>0</v>
      </c>
    </row>
    <row r="101" spans="1:10" s="138" customFormat="1" ht="15" customHeight="1" hidden="1" outlineLevel="3">
      <c r="A101" s="136" t="s">
        <v>438</v>
      </c>
      <c r="B101" s="137" t="s">
        <v>389</v>
      </c>
      <c r="C101" s="112">
        <v>470</v>
      </c>
      <c r="D101" s="137">
        <v>12</v>
      </c>
      <c r="E101" s="112"/>
      <c r="F101" s="110">
        <f t="shared" si="2"/>
        <v>0</v>
      </c>
      <c r="G101" s="112"/>
      <c r="H101" s="111"/>
      <c r="I101" s="111"/>
      <c r="J101" s="237">
        <f t="shared" si="3"/>
        <v>0</v>
      </c>
    </row>
    <row r="102" spans="1:10" s="138" customFormat="1" ht="15" customHeight="1" hidden="1" outlineLevel="3">
      <c r="A102" s="136" t="s">
        <v>439</v>
      </c>
      <c r="B102" s="137" t="s">
        <v>389</v>
      </c>
      <c r="C102" s="112">
        <v>460</v>
      </c>
      <c r="D102" s="137">
        <v>12</v>
      </c>
      <c r="E102" s="112"/>
      <c r="F102" s="110">
        <f t="shared" si="2"/>
        <v>0</v>
      </c>
      <c r="G102" s="112"/>
      <c r="H102" s="111"/>
      <c r="I102" s="111"/>
      <c r="J102" s="237">
        <f t="shared" si="3"/>
        <v>0</v>
      </c>
    </row>
    <row r="103" spans="1:10" s="138" customFormat="1" ht="15" customHeight="1" hidden="1" outlineLevel="3">
      <c r="A103" s="136" t="s">
        <v>440</v>
      </c>
      <c r="B103" s="137" t="s">
        <v>389</v>
      </c>
      <c r="C103" s="112">
        <v>380</v>
      </c>
      <c r="D103" s="137">
        <v>12</v>
      </c>
      <c r="E103" s="112"/>
      <c r="F103" s="110">
        <f t="shared" si="2"/>
        <v>0</v>
      </c>
      <c r="G103" s="112"/>
      <c r="H103" s="111"/>
      <c r="I103" s="111"/>
      <c r="J103" s="237">
        <f t="shared" si="3"/>
        <v>0</v>
      </c>
    </row>
    <row r="104" spans="1:10" s="138" customFormat="1" ht="15" customHeight="1" hidden="1" outlineLevel="3">
      <c r="A104" s="136" t="s">
        <v>441</v>
      </c>
      <c r="B104" s="137" t="s">
        <v>389</v>
      </c>
      <c r="C104" s="112">
        <v>370</v>
      </c>
      <c r="D104" s="137">
        <v>12</v>
      </c>
      <c r="E104" s="112"/>
      <c r="F104" s="110">
        <f t="shared" si="2"/>
        <v>0</v>
      </c>
      <c r="G104" s="112"/>
      <c r="H104" s="111"/>
      <c r="I104" s="111"/>
      <c r="J104" s="237">
        <f t="shared" si="3"/>
        <v>0</v>
      </c>
    </row>
    <row r="105" spans="1:10" s="138" customFormat="1" ht="15" customHeight="1" hidden="1" outlineLevel="3">
      <c r="A105" s="136" t="s">
        <v>442</v>
      </c>
      <c r="B105" s="137" t="s">
        <v>389</v>
      </c>
      <c r="C105" s="112">
        <v>360</v>
      </c>
      <c r="D105" s="137">
        <v>12</v>
      </c>
      <c r="E105" s="112"/>
      <c r="F105" s="110">
        <f t="shared" si="2"/>
        <v>0</v>
      </c>
      <c r="G105" s="112"/>
      <c r="H105" s="111"/>
      <c r="I105" s="111"/>
      <c r="J105" s="237">
        <f t="shared" si="3"/>
        <v>0</v>
      </c>
    </row>
    <row r="106" spans="1:10" s="138" customFormat="1" ht="15" customHeight="1" hidden="1" outlineLevel="3">
      <c r="A106" s="136" t="s">
        <v>443</v>
      </c>
      <c r="B106" s="137" t="s">
        <v>389</v>
      </c>
      <c r="C106" s="112">
        <v>510</v>
      </c>
      <c r="D106" s="137">
        <v>12</v>
      </c>
      <c r="E106" s="112"/>
      <c r="F106" s="110">
        <f t="shared" si="2"/>
        <v>0</v>
      </c>
      <c r="G106" s="112"/>
      <c r="H106" s="111"/>
      <c r="I106" s="111"/>
      <c r="J106" s="237">
        <f t="shared" si="3"/>
        <v>0</v>
      </c>
    </row>
    <row r="107" spans="1:10" s="138" customFormat="1" ht="15" customHeight="1" hidden="1" outlineLevel="3">
      <c r="A107" s="136" t="s">
        <v>444</v>
      </c>
      <c r="B107" s="137" t="s">
        <v>389</v>
      </c>
      <c r="C107" s="112">
        <v>490</v>
      </c>
      <c r="D107" s="137">
        <v>12</v>
      </c>
      <c r="E107" s="112"/>
      <c r="F107" s="110">
        <f t="shared" si="2"/>
        <v>0</v>
      </c>
      <c r="G107" s="112"/>
      <c r="H107" s="111"/>
      <c r="I107" s="111"/>
      <c r="J107" s="237">
        <f t="shared" si="3"/>
        <v>0</v>
      </c>
    </row>
    <row r="108" spans="1:10" s="138" customFormat="1" ht="15" customHeight="1" hidden="1" outlineLevel="3">
      <c r="A108" s="136" t="s">
        <v>445</v>
      </c>
      <c r="B108" s="137" t="s">
        <v>389</v>
      </c>
      <c r="C108" s="112">
        <v>470</v>
      </c>
      <c r="D108" s="137">
        <v>12</v>
      </c>
      <c r="E108" s="112"/>
      <c r="F108" s="110">
        <f t="shared" si="2"/>
        <v>0</v>
      </c>
      <c r="G108" s="112"/>
      <c r="H108" s="111"/>
      <c r="I108" s="111"/>
      <c r="J108" s="237">
        <f t="shared" si="3"/>
        <v>0</v>
      </c>
    </row>
    <row r="109" spans="1:10" s="138" customFormat="1" ht="15" customHeight="1" hidden="1" outlineLevel="3">
      <c r="A109" s="136" t="s">
        <v>446</v>
      </c>
      <c r="B109" s="137" t="s">
        <v>389</v>
      </c>
      <c r="C109" s="112">
        <v>560</v>
      </c>
      <c r="D109" s="137">
        <v>12</v>
      </c>
      <c r="E109" s="112"/>
      <c r="F109" s="110">
        <f t="shared" si="2"/>
        <v>0</v>
      </c>
      <c r="G109" s="112"/>
      <c r="H109" s="111"/>
      <c r="I109" s="111"/>
      <c r="J109" s="237">
        <f t="shared" si="3"/>
        <v>0</v>
      </c>
    </row>
    <row r="110" spans="1:10" s="138" customFormat="1" ht="15" customHeight="1" hidden="1" outlineLevel="3">
      <c r="A110" s="136" t="s">
        <v>447</v>
      </c>
      <c r="B110" s="137" t="s">
        <v>389</v>
      </c>
      <c r="C110" s="112">
        <v>550</v>
      </c>
      <c r="D110" s="137">
        <v>12</v>
      </c>
      <c r="E110" s="112"/>
      <c r="F110" s="110">
        <f t="shared" si="2"/>
        <v>0</v>
      </c>
      <c r="G110" s="112"/>
      <c r="H110" s="111"/>
      <c r="I110" s="111"/>
      <c r="J110" s="237">
        <f t="shared" si="3"/>
        <v>0</v>
      </c>
    </row>
    <row r="111" spans="1:10" s="138" customFormat="1" ht="15" customHeight="1" hidden="1" outlineLevel="3">
      <c r="A111" s="136" t="s">
        <v>448</v>
      </c>
      <c r="B111" s="137" t="s">
        <v>389</v>
      </c>
      <c r="C111" s="112">
        <v>530</v>
      </c>
      <c r="D111" s="137">
        <v>12</v>
      </c>
      <c r="E111" s="112"/>
      <c r="F111" s="110">
        <f t="shared" si="2"/>
        <v>0</v>
      </c>
      <c r="G111" s="112"/>
      <c r="H111" s="111"/>
      <c r="I111" s="111"/>
      <c r="J111" s="237">
        <f t="shared" si="3"/>
        <v>0</v>
      </c>
    </row>
    <row r="112" spans="1:10" s="138" customFormat="1" ht="15" customHeight="1" hidden="1" outlineLevel="3">
      <c r="A112" s="136" t="s">
        <v>449</v>
      </c>
      <c r="B112" s="137" t="s">
        <v>389</v>
      </c>
      <c r="C112" s="112">
        <v>500</v>
      </c>
      <c r="D112" s="137">
        <v>12</v>
      </c>
      <c r="E112" s="112"/>
      <c r="F112" s="110">
        <f t="shared" si="2"/>
        <v>0</v>
      </c>
      <c r="G112" s="112"/>
      <c r="H112" s="111"/>
      <c r="I112" s="111"/>
      <c r="J112" s="237">
        <f t="shared" si="3"/>
        <v>0</v>
      </c>
    </row>
    <row r="113" spans="1:10" s="138" customFormat="1" ht="15" customHeight="1" hidden="1" outlineLevel="3">
      <c r="A113" s="136" t="s">
        <v>450</v>
      </c>
      <c r="B113" s="137" t="s">
        <v>389</v>
      </c>
      <c r="C113" s="112">
        <v>490</v>
      </c>
      <c r="D113" s="137">
        <v>12</v>
      </c>
      <c r="E113" s="112"/>
      <c r="F113" s="110">
        <f t="shared" si="2"/>
        <v>0</v>
      </c>
      <c r="G113" s="112"/>
      <c r="H113" s="111"/>
      <c r="I113" s="111"/>
      <c r="J113" s="237">
        <f t="shared" si="3"/>
        <v>0</v>
      </c>
    </row>
    <row r="114" spans="1:10" s="138" customFormat="1" ht="15" customHeight="1" hidden="1" outlineLevel="3">
      <c r="A114" s="136" t="s">
        <v>451</v>
      </c>
      <c r="B114" s="137" t="s">
        <v>389</v>
      </c>
      <c r="C114" s="112">
        <v>460</v>
      </c>
      <c r="D114" s="137">
        <v>12</v>
      </c>
      <c r="E114" s="112"/>
      <c r="F114" s="110">
        <f t="shared" si="2"/>
        <v>0</v>
      </c>
      <c r="G114" s="112"/>
      <c r="H114" s="111"/>
      <c r="I114" s="111"/>
      <c r="J114" s="237">
        <f t="shared" si="3"/>
        <v>0</v>
      </c>
    </row>
    <row r="115" spans="1:10" s="138" customFormat="1" ht="15" customHeight="1" hidden="1" outlineLevel="3">
      <c r="A115" s="136" t="s">
        <v>452</v>
      </c>
      <c r="B115" s="137" t="s">
        <v>389</v>
      </c>
      <c r="C115" s="112">
        <v>530</v>
      </c>
      <c r="D115" s="137">
        <v>12</v>
      </c>
      <c r="E115" s="112"/>
      <c r="F115" s="110">
        <f t="shared" si="2"/>
        <v>0</v>
      </c>
      <c r="G115" s="112"/>
      <c r="H115" s="111"/>
      <c r="I115" s="111"/>
      <c r="J115" s="237">
        <f t="shared" si="3"/>
        <v>0</v>
      </c>
    </row>
    <row r="116" spans="1:10" s="138" customFormat="1" ht="15" customHeight="1" hidden="1" outlineLevel="3">
      <c r="A116" s="136" t="s">
        <v>453</v>
      </c>
      <c r="B116" s="137" t="s">
        <v>389</v>
      </c>
      <c r="C116" s="112">
        <v>510</v>
      </c>
      <c r="D116" s="137">
        <v>12</v>
      </c>
      <c r="E116" s="112"/>
      <c r="F116" s="110">
        <f t="shared" si="2"/>
        <v>0</v>
      </c>
      <c r="G116" s="112"/>
      <c r="H116" s="111"/>
      <c r="I116" s="111"/>
      <c r="J116" s="237">
        <f t="shared" si="3"/>
        <v>0</v>
      </c>
    </row>
    <row r="117" spans="1:10" s="138" customFormat="1" ht="15" customHeight="1" hidden="1" outlineLevel="3">
      <c r="A117" s="136" t="s">
        <v>454</v>
      </c>
      <c r="B117" s="137" t="s">
        <v>389</v>
      </c>
      <c r="C117" s="112">
        <v>490</v>
      </c>
      <c r="D117" s="137">
        <v>12</v>
      </c>
      <c r="E117" s="112"/>
      <c r="F117" s="110">
        <f aca="true" t="shared" si="4" ref="F117:F141">E117/C117*D117</f>
        <v>0</v>
      </c>
      <c r="G117" s="112"/>
      <c r="H117" s="111"/>
      <c r="I117" s="111"/>
      <c r="J117" s="237">
        <f t="shared" si="3"/>
        <v>0</v>
      </c>
    </row>
    <row r="118" spans="1:10" s="138" customFormat="1" ht="15" customHeight="1" hidden="1" outlineLevel="3">
      <c r="A118" s="136" t="s">
        <v>455</v>
      </c>
      <c r="B118" s="137" t="s">
        <v>389</v>
      </c>
      <c r="C118" s="112">
        <v>560</v>
      </c>
      <c r="D118" s="137">
        <v>12</v>
      </c>
      <c r="E118" s="112"/>
      <c r="F118" s="110">
        <f t="shared" si="4"/>
        <v>0</v>
      </c>
      <c r="G118" s="112"/>
      <c r="H118" s="111"/>
      <c r="I118" s="111"/>
      <c r="J118" s="237">
        <f t="shared" si="3"/>
        <v>0</v>
      </c>
    </row>
    <row r="119" spans="1:10" s="138" customFormat="1" ht="15" customHeight="1" hidden="1" outlineLevel="3">
      <c r="A119" s="136" t="s">
        <v>456</v>
      </c>
      <c r="B119" s="137" t="s">
        <v>389</v>
      </c>
      <c r="C119" s="112">
        <v>550</v>
      </c>
      <c r="D119" s="137">
        <v>12</v>
      </c>
      <c r="E119" s="112"/>
      <c r="F119" s="110">
        <f t="shared" si="4"/>
        <v>0</v>
      </c>
      <c r="G119" s="112"/>
      <c r="H119" s="111"/>
      <c r="I119" s="111"/>
      <c r="J119" s="237">
        <f t="shared" si="3"/>
        <v>0</v>
      </c>
    </row>
    <row r="120" spans="1:10" s="138" customFormat="1" ht="15" customHeight="1" hidden="1" outlineLevel="3">
      <c r="A120" s="136" t="s">
        <v>457</v>
      </c>
      <c r="B120" s="137" t="s">
        <v>389</v>
      </c>
      <c r="C120" s="112">
        <v>530</v>
      </c>
      <c r="D120" s="137">
        <v>12</v>
      </c>
      <c r="E120" s="112"/>
      <c r="F120" s="110">
        <f t="shared" si="4"/>
        <v>0</v>
      </c>
      <c r="G120" s="112"/>
      <c r="H120" s="111"/>
      <c r="I120" s="111"/>
      <c r="J120" s="237">
        <f t="shared" si="3"/>
        <v>0</v>
      </c>
    </row>
    <row r="121" spans="1:10" s="138" customFormat="1" ht="15" customHeight="1" hidden="1" outlineLevel="3">
      <c r="A121" s="136" t="s">
        <v>458</v>
      </c>
      <c r="B121" s="137" t="s">
        <v>389</v>
      </c>
      <c r="C121" s="112">
        <v>490</v>
      </c>
      <c r="D121" s="137">
        <v>12</v>
      </c>
      <c r="E121" s="112"/>
      <c r="F121" s="110">
        <f t="shared" si="4"/>
        <v>0</v>
      </c>
      <c r="G121" s="112"/>
      <c r="H121" s="111"/>
      <c r="I121" s="111"/>
      <c r="J121" s="237">
        <f t="shared" si="3"/>
        <v>0</v>
      </c>
    </row>
    <row r="122" spans="1:10" s="138" customFormat="1" ht="15" customHeight="1" hidden="1" outlineLevel="3">
      <c r="A122" s="136" t="s">
        <v>459</v>
      </c>
      <c r="B122" s="137" t="s">
        <v>389</v>
      </c>
      <c r="C122" s="112">
        <v>480</v>
      </c>
      <c r="D122" s="137">
        <v>12</v>
      </c>
      <c r="E122" s="112"/>
      <c r="F122" s="110">
        <f t="shared" si="4"/>
        <v>0</v>
      </c>
      <c r="G122" s="112"/>
      <c r="H122" s="111"/>
      <c r="I122" s="111"/>
      <c r="J122" s="237">
        <f t="shared" si="3"/>
        <v>0</v>
      </c>
    </row>
    <row r="123" spans="1:10" s="138" customFormat="1" ht="15" customHeight="1" hidden="1" outlineLevel="3">
      <c r="A123" s="136" t="s">
        <v>460</v>
      </c>
      <c r="B123" s="137" t="s">
        <v>389</v>
      </c>
      <c r="C123" s="112">
        <v>470</v>
      </c>
      <c r="D123" s="137">
        <v>12</v>
      </c>
      <c r="E123" s="112"/>
      <c r="F123" s="110">
        <f t="shared" si="4"/>
        <v>0</v>
      </c>
      <c r="G123" s="112"/>
      <c r="H123" s="111"/>
      <c r="I123" s="111"/>
      <c r="J123" s="237">
        <f t="shared" si="3"/>
        <v>0</v>
      </c>
    </row>
    <row r="124" spans="1:10" s="138" customFormat="1" ht="15" customHeight="1" hidden="1" outlineLevel="3">
      <c r="A124" s="136" t="s">
        <v>461</v>
      </c>
      <c r="B124" s="137" t="s">
        <v>389</v>
      </c>
      <c r="C124" s="112">
        <v>580</v>
      </c>
      <c r="D124" s="137">
        <v>12</v>
      </c>
      <c r="E124" s="112"/>
      <c r="F124" s="110">
        <f t="shared" si="4"/>
        <v>0</v>
      </c>
      <c r="G124" s="112"/>
      <c r="H124" s="111"/>
      <c r="I124" s="111"/>
      <c r="J124" s="237">
        <f t="shared" si="3"/>
        <v>0</v>
      </c>
    </row>
    <row r="125" spans="1:10" s="138" customFormat="1" ht="15" customHeight="1" hidden="1" outlineLevel="3">
      <c r="A125" s="136" t="s">
        <v>462</v>
      </c>
      <c r="B125" s="137" t="s">
        <v>389</v>
      </c>
      <c r="C125" s="112">
        <v>560</v>
      </c>
      <c r="D125" s="137">
        <v>12</v>
      </c>
      <c r="E125" s="112"/>
      <c r="F125" s="110">
        <f t="shared" si="4"/>
        <v>0</v>
      </c>
      <c r="G125" s="112"/>
      <c r="H125" s="111"/>
      <c r="I125" s="111"/>
      <c r="J125" s="237">
        <f t="shared" si="3"/>
        <v>0</v>
      </c>
    </row>
    <row r="126" spans="1:10" s="138" customFormat="1" ht="15" customHeight="1" hidden="1" outlineLevel="3">
      <c r="A126" s="136" t="s">
        <v>463</v>
      </c>
      <c r="B126" s="137" t="s">
        <v>389</v>
      </c>
      <c r="C126" s="112">
        <v>540</v>
      </c>
      <c r="D126" s="137">
        <v>12</v>
      </c>
      <c r="E126" s="112"/>
      <c r="F126" s="110">
        <f t="shared" si="4"/>
        <v>0</v>
      </c>
      <c r="G126" s="112"/>
      <c r="H126" s="111"/>
      <c r="I126" s="111"/>
      <c r="J126" s="237">
        <f t="shared" si="3"/>
        <v>0</v>
      </c>
    </row>
    <row r="127" spans="1:10" s="138" customFormat="1" ht="15" customHeight="1" hidden="1" outlineLevel="3">
      <c r="A127" s="136" t="s">
        <v>464</v>
      </c>
      <c r="B127" s="137" t="s">
        <v>389</v>
      </c>
      <c r="C127" s="112">
        <v>600</v>
      </c>
      <c r="D127" s="137">
        <v>12</v>
      </c>
      <c r="E127" s="112"/>
      <c r="F127" s="110">
        <f t="shared" si="4"/>
        <v>0</v>
      </c>
      <c r="G127" s="112"/>
      <c r="H127" s="111"/>
      <c r="I127" s="111"/>
      <c r="J127" s="237">
        <f t="shared" si="3"/>
        <v>0</v>
      </c>
    </row>
    <row r="128" spans="1:10" s="138" customFormat="1" ht="15" customHeight="1" hidden="1" outlineLevel="3">
      <c r="A128" s="136" t="s">
        <v>465</v>
      </c>
      <c r="B128" s="137" t="s">
        <v>389</v>
      </c>
      <c r="C128" s="112">
        <v>600</v>
      </c>
      <c r="D128" s="137">
        <v>12</v>
      </c>
      <c r="E128" s="112"/>
      <c r="F128" s="110">
        <f t="shared" si="4"/>
        <v>0</v>
      </c>
      <c r="G128" s="112"/>
      <c r="H128" s="111"/>
      <c r="I128" s="111"/>
      <c r="J128" s="237">
        <f t="shared" si="3"/>
        <v>0</v>
      </c>
    </row>
    <row r="129" spans="1:10" s="138" customFormat="1" ht="15" customHeight="1" hidden="1" outlineLevel="3">
      <c r="A129" s="136" t="s">
        <v>466</v>
      </c>
      <c r="B129" s="137" t="s">
        <v>389</v>
      </c>
      <c r="C129" s="112">
        <v>580</v>
      </c>
      <c r="D129" s="137">
        <v>12</v>
      </c>
      <c r="E129" s="112"/>
      <c r="F129" s="110">
        <f t="shared" si="4"/>
        <v>0</v>
      </c>
      <c r="G129" s="112"/>
      <c r="H129" s="111"/>
      <c r="I129" s="111"/>
      <c r="J129" s="237">
        <f t="shared" si="3"/>
        <v>0</v>
      </c>
    </row>
    <row r="130" spans="1:10" s="138" customFormat="1" ht="15" customHeight="1" hidden="1" outlineLevel="3">
      <c r="A130" s="136" t="s">
        <v>467</v>
      </c>
      <c r="B130" s="137" t="s">
        <v>389</v>
      </c>
      <c r="C130" s="112">
        <v>530</v>
      </c>
      <c r="D130" s="137">
        <v>12</v>
      </c>
      <c r="E130" s="112"/>
      <c r="F130" s="110">
        <f t="shared" si="4"/>
        <v>0</v>
      </c>
      <c r="G130" s="112"/>
      <c r="H130" s="111"/>
      <c r="I130" s="111"/>
      <c r="J130" s="237">
        <f t="shared" si="3"/>
        <v>0</v>
      </c>
    </row>
    <row r="131" spans="1:10" s="138" customFormat="1" ht="15" customHeight="1" hidden="1" outlineLevel="3">
      <c r="A131" s="136" t="s">
        <v>468</v>
      </c>
      <c r="B131" s="137" t="s">
        <v>389</v>
      </c>
      <c r="C131" s="112">
        <v>530</v>
      </c>
      <c r="D131" s="137">
        <v>12</v>
      </c>
      <c r="E131" s="112"/>
      <c r="F131" s="110">
        <f t="shared" si="4"/>
        <v>0</v>
      </c>
      <c r="G131" s="112"/>
      <c r="H131" s="111"/>
      <c r="I131" s="111"/>
      <c r="J131" s="237">
        <f t="shared" si="3"/>
        <v>0</v>
      </c>
    </row>
    <row r="132" spans="1:10" s="138" customFormat="1" ht="15" customHeight="1" hidden="1" outlineLevel="3">
      <c r="A132" s="136" t="s">
        <v>469</v>
      </c>
      <c r="B132" s="137" t="s">
        <v>389</v>
      </c>
      <c r="C132" s="112">
        <v>510</v>
      </c>
      <c r="D132" s="137">
        <v>12</v>
      </c>
      <c r="E132" s="112"/>
      <c r="F132" s="110">
        <f t="shared" si="4"/>
        <v>0</v>
      </c>
      <c r="G132" s="112"/>
      <c r="H132" s="111"/>
      <c r="I132" s="111"/>
      <c r="J132" s="237">
        <f aca="true" t="shared" si="5" ref="J132:J179">I132/$E$9</f>
        <v>0</v>
      </c>
    </row>
    <row r="133" spans="1:10" s="138" customFormat="1" ht="15" customHeight="1" hidden="1" outlineLevel="3">
      <c r="A133" s="136" t="s">
        <v>470</v>
      </c>
      <c r="B133" s="137" t="s">
        <v>389</v>
      </c>
      <c r="C133" s="112">
        <v>640</v>
      </c>
      <c r="D133" s="137">
        <v>12</v>
      </c>
      <c r="E133" s="112"/>
      <c r="F133" s="110">
        <f t="shared" si="4"/>
        <v>0</v>
      </c>
      <c r="G133" s="112"/>
      <c r="H133" s="111"/>
      <c r="I133" s="111"/>
      <c r="J133" s="237">
        <f t="shared" si="5"/>
        <v>0</v>
      </c>
    </row>
    <row r="134" spans="1:10" s="138" customFormat="1" ht="15" customHeight="1" hidden="1" outlineLevel="3">
      <c r="A134" s="136" t="s">
        <v>471</v>
      </c>
      <c r="B134" s="137" t="s">
        <v>389</v>
      </c>
      <c r="C134" s="112">
        <v>510</v>
      </c>
      <c r="D134" s="137">
        <v>12</v>
      </c>
      <c r="E134" s="112"/>
      <c r="F134" s="110">
        <f t="shared" si="4"/>
        <v>0</v>
      </c>
      <c r="G134" s="112"/>
      <c r="H134" s="111"/>
      <c r="I134" s="111"/>
      <c r="J134" s="237">
        <f t="shared" si="5"/>
        <v>0</v>
      </c>
    </row>
    <row r="135" spans="1:10" s="138" customFormat="1" ht="15" customHeight="1" hidden="1" outlineLevel="3">
      <c r="A135" s="136" t="s">
        <v>472</v>
      </c>
      <c r="B135" s="137" t="s">
        <v>389</v>
      </c>
      <c r="C135" s="112">
        <v>490</v>
      </c>
      <c r="D135" s="137">
        <v>12</v>
      </c>
      <c r="E135" s="112"/>
      <c r="F135" s="110">
        <f t="shared" si="4"/>
        <v>0</v>
      </c>
      <c r="G135" s="112"/>
      <c r="H135" s="111"/>
      <c r="I135" s="111"/>
      <c r="J135" s="237">
        <f t="shared" si="5"/>
        <v>0</v>
      </c>
    </row>
    <row r="136" spans="1:10" s="138" customFormat="1" ht="15" customHeight="1" hidden="1" outlineLevel="3">
      <c r="A136" s="136" t="s">
        <v>473</v>
      </c>
      <c r="B136" s="137" t="s">
        <v>389</v>
      </c>
      <c r="C136" s="112">
        <v>670</v>
      </c>
      <c r="D136" s="137">
        <v>12</v>
      </c>
      <c r="E136" s="112"/>
      <c r="F136" s="110">
        <f t="shared" si="4"/>
        <v>0</v>
      </c>
      <c r="G136" s="112"/>
      <c r="H136" s="111"/>
      <c r="I136" s="111"/>
      <c r="J136" s="237">
        <f t="shared" si="5"/>
        <v>0</v>
      </c>
    </row>
    <row r="137" spans="1:10" s="138" customFormat="1" ht="15" customHeight="1" hidden="1" outlineLevel="3">
      <c r="A137" s="136" t="s">
        <v>474</v>
      </c>
      <c r="B137" s="137" t="s">
        <v>389</v>
      </c>
      <c r="C137" s="112">
        <v>660</v>
      </c>
      <c r="D137" s="137">
        <v>12</v>
      </c>
      <c r="E137" s="112"/>
      <c r="F137" s="110">
        <f t="shared" si="4"/>
        <v>0</v>
      </c>
      <c r="G137" s="112"/>
      <c r="H137" s="111"/>
      <c r="I137" s="111"/>
      <c r="J137" s="237">
        <f t="shared" si="5"/>
        <v>0</v>
      </c>
    </row>
    <row r="138" spans="1:10" s="138" customFormat="1" ht="15" customHeight="1" hidden="1" outlineLevel="3">
      <c r="A138" s="136" t="s">
        <v>475</v>
      </c>
      <c r="B138" s="137" t="s">
        <v>389</v>
      </c>
      <c r="C138" s="112">
        <v>640</v>
      </c>
      <c r="D138" s="137">
        <v>12</v>
      </c>
      <c r="E138" s="112"/>
      <c r="F138" s="110">
        <f t="shared" si="4"/>
        <v>0</v>
      </c>
      <c r="G138" s="112"/>
      <c r="H138" s="111"/>
      <c r="I138" s="111"/>
      <c r="J138" s="237">
        <f t="shared" si="5"/>
        <v>0</v>
      </c>
    </row>
    <row r="139" spans="1:10" s="138" customFormat="1" ht="15" customHeight="1" hidden="1" outlineLevel="3">
      <c r="A139" s="136" t="s">
        <v>476</v>
      </c>
      <c r="B139" s="137" t="s">
        <v>389</v>
      </c>
      <c r="C139" s="112">
        <v>590</v>
      </c>
      <c r="D139" s="137">
        <v>12</v>
      </c>
      <c r="E139" s="112"/>
      <c r="F139" s="110">
        <f t="shared" si="4"/>
        <v>0</v>
      </c>
      <c r="G139" s="112"/>
      <c r="H139" s="111"/>
      <c r="I139" s="111"/>
      <c r="J139" s="237">
        <f t="shared" si="5"/>
        <v>0</v>
      </c>
    </row>
    <row r="140" spans="1:10" s="138" customFormat="1" ht="15" customHeight="1" hidden="1" outlineLevel="3">
      <c r="A140" s="136" t="s">
        <v>477</v>
      </c>
      <c r="B140" s="137" t="s">
        <v>389</v>
      </c>
      <c r="C140" s="112">
        <v>580</v>
      </c>
      <c r="D140" s="137">
        <v>12</v>
      </c>
      <c r="E140" s="112"/>
      <c r="F140" s="110">
        <f t="shared" si="4"/>
        <v>0</v>
      </c>
      <c r="G140" s="112"/>
      <c r="H140" s="111"/>
      <c r="I140" s="111"/>
      <c r="J140" s="237">
        <f t="shared" si="5"/>
        <v>0</v>
      </c>
    </row>
    <row r="141" spans="1:10" s="138" customFormat="1" ht="15" customHeight="1" hidden="1" outlineLevel="3">
      <c r="A141" s="136" t="s">
        <v>478</v>
      </c>
      <c r="B141" s="137" t="s">
        <v>389</v>
      </c>
      <c r="C141" s="112">
        <v>560</v>
      </c>
      <c r="D141" s="137">
        <v>12</v>
      </c>
      <c r="E141" s="112"/>
      <c r="F141" s="110">
        <f t="shared" si="4"/>
        <v>0</v>
      </c>
      <c r="G141" s="112"/>
      <c r="H141" s="111"/>
      <c r="I141" s="111"/>
      <c r="J141" s="237">
        <f t="shared" si="5"/>
        <v>0</v>
      </c>
    </row>
    <row r="142" spans="1:10" s="69" customFormat="1" ht="15" customHeight="1" hidden="1" outlineLevel="1">
      <c r="A142" s="135" t="s">
        <v>365</v>
      </c>
      <c r="B142" s="68" t="s">
        <v>364</v>
      </c>
      <c r="C142" s="68" t="str">
        <f>E51</f>
        <v>х</v>
      </c>
      <c r="D142" s="139">
        <v>0.5</v>
      </c>
      <c r="E142" s="108">
        <f>H51</f>
        <v>0</v>
      </c>
      <c r="F142" s="68">
        <f>E142/12</f>
        <v>0</v>
      </c>
      <c r="G142" s="107">
        <v>0.5</v>
      </c>
      <c r="H142" s="108">
        <f>E142*G142</f>
        <v>0</v>
      </c>
      <c r="I142" s="108">
        <f>H142/12</f>
        <v>0</v>
      </c>
      <c r="J142" s="237">
        <f t="shared" si="5"/>
        <v>0</v>
      </c>
    </row>
    <row r="143" spans="1:10" s="69" customFormat="1" ht="15" customHeight="1" hidden="1" outlineLevel="1">
      <c r="A143" s="135" t="s">
        <v>366</v>
      </c>
      <c r="B143" s="68" t="s">
        <v>364</v>
      </c>
      <c r="C143" s="68" t="s">
        <v>364</v>
      </c>
      <c r="D143" s="139">
        <v>0.12</v>
      </c>
      <c r="E143" s="108">
        <f>H51+H142</f>
        <v>0</v>
      </c>
      <c r="F143" s="68">
        <f>E143/12</f>
        <v>0</v>
      </c>
      <c r="G143" s="107">
        <v>0.12</v>
      </c>
      <c r="H143" s="108">
        <f>E143*G143</f>
        <v>0</v>
      </c>
      <c r="I143" s="108">
        <f>H143/12</f>
        <v>0</v>
      </c>
      <c r="J143" s="237">
        <f t="shared" si="5"/>
        <v>0</v>
      </c>
    </row>
    <row r="144" spans="1:10" s="69" customFormat="1" ht="15" customHeight="1" hidden="1" outlineLevel="1">
      <c r="A144" s="135" t="s">
        <v>367</v>
      </c>
      <c r="B144" s="68" t="s">
        <v>364</v>
      </c>
      <c r="C144" s="68" t="s">
        <v>364</v>
      </c>
      <c r="D144" s="139">
        <v>0.342</v>
      </c>
      <c r="E144" s="108">
        <f>H51+H142+H143</f>
        <v>0</v>
      </c>
      <c r="F144" s="68">
        <f>E144/12</f>
        <v>0</v>
      </c>
      <c r="G144" s="107">
        <v>0.342</v>
      </c>
      <c r="H144" s="108">
        <f>E144*G144</f>
        <v>0</v>
      </c>
      <c r="I144" s="108">
        <f>H144/12</f>
        <v>0</v>
      </c>
      <c r="J144" s="237">
        <f t="shared" si="5"/>
        <v>0</v>
      </c>
    </row>
    <row r="145" spans="1:10" s="69" customFormat="1" ht="15" customHeight="1" hidden="1" outlineLevel="1">
      <c r="A145" s="135" t="s">
        <v>369</v>
      </c>
      <c r="B145" s="68" t="s">
        <v>364</v>
      </c>
      <c r="C145" s="124" t="s">
        <v>364</v>
      </c>
      <c r="D145" s="124" t="s">
        <v>364</v>
      </c>
      <c r="E145" s="124" t="s">
        <v>364</v>
      </c>
      <c r="F145" s="125" t="s">
        <v>364</v>
      </c>
      <c r="G145" s="125" t="s">
        <v>364</v>
      </c>
      <c r="H145" s="108">
        <f>SUM(H146:H164)</f>
        <v>0</v>
      </c>
      <c r="I145" s="108">
        <f>H145/12</f>
        <v>0</v>
      </c>
      <c r="J145" s="237">
        <f t="shared" si="5"/>
        <v>0</v>
      </c>
    </row>
    <row r="146" spans="1:10" s="123" customFormat="1" ht="15" customHeight="1" hidden="1" outlineLevel="3">
      <c r="A146" s="102" t="s">
        <v>479</v>
      </c>
      <c r="B146" s="129" t="s">
        <v>370</v>
      </c>
      <c r="C146" s="120">
        <f>1/12</f>
        <v>0.08333333333333333</v>
      </c>
      <c r="D146" s="140">
        <v>12</v>
      </c>
      <c r="E146" s="119">
        <v>0</v>
      </c>
      <c r="F146" s="120">
        <f>C146*D146*E146</f>
        <v>0</v>
      </c>
      <c r="G146" s="121">
        <v>500</v>
      </c>
      <c r="H146" s="121">
        <f>F146*G146</f>
        <v>0</v>
      </c>
      <c r="I146" s="121">
        <f>H146/12</f>
        <v>0</v>
      </c>
      <c r="J146" s="237">
        <f t="shared" si="5"/>
        <v>0</v>
      </c>
    </row>
    <row r="147" spans="1:10" s="123" customFormat="1" ht="15" customHeight="1" hidden="1" outlineLevel="3">
      <c r="A147" s="102" t="s">
        <v>381</v>
      </c>
      <c r="B147" s="129" t="s">
        <v>370</v>
      </c>
      <c r="C147" s="120">
        <v>1</v>
      </c>
      <c r="D147" s="140">
        <v>12</v>
      </c>
      <c r="E147" s="119">
        <v>0</v>
      </c>
      <c r="F147" s="120">
        <f aca="true" t="shared" si="6" ref="F147:F164">C147*D147*E147</f>
        <v>0</v>
      </c>
      <c r="G147" s="121">
        <v>14</v>
      </c>
      <c r="H147" s="121">
        <f aca="true" t="shared" si="7" ref="H147:H162">F147*G147</f>
        <v>0</v>
      </c>
      <c r="I147" s="121">
        <f aca="true" t="shared" si="8" ref="I147:I164">H147/12</f>
        <v>0</v>
      </c>
      <c r="J147" s="237">
        <f t="shared" si="5"/>
        <v>0</v>
      </c>
    </row>
    <row r="148" spans="1:10" s="123" customFormat="1" ht="15" customHeight="1" hidden="1" outlineLevel="3">
      <c r="A148" s="102" t="s">
        <v>480</v>
      </c>
      <c r="B148" s="129" t="s">
        <v>370</v>
      </c>
      <c r="C148" s="120">
        <f>1/12</f>
        <v>0.08333333333333333</v>
      </c>
      <c r="D148" s="140">
        <v>12</v>
      </c>
      <c r="E148" s="119">
        <v>0</v>
      </c>
      <c r="F148" s="120">
        <f t="shared" si="6"/>
        <v>0</v>
      </c>
      <c r="G148" s="121">
        <v>120</v>
      </c>
      <c r="H148" s="121">
        <f t="shared" si="7"/>
        <v>0</v>
      </c>
      <c r="I148" s="121">
        <f t="shared" si="8"/>
        <v>0</v>
      </c>
      <c r="J148" s="237">
        <f t="shared" si="5"/>
        <v>0</v>
      </c>
    </row>
    <row r="149" spans="1:10" s="123" customFormat="1" ht="15" customHeight="1" hidden="1" outlineLevel="3">
      <c r="A149" s="102" t="s">
        <v>481</v>
      </c>
      <c r="B149" s="129" t="s">
        <v>370</v>
      </c>
      <c r="C149" s="120">
        <f>1/36</f>
        <v>0.027777777777777776</v>
      </c>
      <c r="D149" s="140">
        <v>12</v>
      </c>
      <c r="E149" s="119">
        <v>0</v>
      </c>
      <c r="F149" s="120">
        <f t="shared" si="6"/>
        <v>0</v>
      </c>
      <c r="G149" s="121">
        <v>1200</v>
      </c>
      <c r="H149" s="121">
        <f t="shared" si="7"/>
        <v>0</v>
      </c>
      <c r="I149" s="121">
        <f t="shared" si="8"/>
        <v>0</v>
      </c>
      <c r="J149" s="237">
        <f t="shared" si="5"/>
        <v>0</v>
      </c>
    </row>
    <row r="150" spans="1:10" s="123" customFormat="1" ht="15" customHeight="1" hidden="1" outlineLevel="3">
      <c r="A150" s="102" t="s">
        <v>482</v>
      </c>
      <c r="B150" s="129" t="s">
        <v>370</v>
      </c>
      <c r="C150" s="120">
        <f>1/36</f>
        <v>0.027777777777777776</v>
      </c>
      <c r="D150" s="140">
        <v>12</v>
      </c>
      <c r="E150" s="119">
        <v>0</v>
      </c>
      <c r="F150" s="120">
        <f t="shared" si="6"/>
        <v>0</v>
      </c>
      <c r="G150" s="121">
        <v>1200</v>
      </c>
      <c r="H150" s="121">
        <f t="shared" si="7"/>
        <v>0</v>
      </c>
      <c r="I150" s="121">
        <f t="shared" si="8"/>
        <v>0</v>
      </c>
      <c r="J150" s="237">
        <f t="shared" si="5"/>
        <v>0</v>
      </c>
    </row>
    <row r="151" spans="1:10" s="123" customFormat="1" ht="15" customHeight="1" hidden="1" outlineLevel="3">
      <c r="A151" s="102" t="s">
        <v>371</v>
      </c>
      <c r="B151" s="129" t="s">
        <v>370</v>
      </c>
      <c r="C151" s="120">
        <f>1/36</f>
        <v>0.027777777777777776</v>
      </c>
      <c r="D151" s="140">
        <v>12</v>
      </c>
      <c r="E151" s="119">
        <v>0</v>
      </c>
      <c r="F151" s="120">
        <f t="shared" si="6"/>
        <v>0</v>
      </c>
      <c r="G151" s="121">
        <v>600</v>
      </c>
      <c r="H151" s="121">
        <f t="shared" si="7"/>
        <v>0</v>
      </c>
      <c r="I151" s="121">
        <f t="shared" si="8"/>
        <v>0</v>
      </c>
      <c r="J151" s="237">
        <f t="shared" si="5"/>
        <v>0</v>
      </c>
    </row>
    <row r="152" spans="1:10" s="123" customFormat="1" ht="15" customHeight="1" hidden="1" outlineLevel="3">
      <c r="A152" s="102" t="s">
        <v>373</v>
      </c>
      <c r="B152" s="129" t="s">
        <v>370</v>
      </c>
      <c r="C152" s="120">
        <v>0.027777777777777776</v>
      </c>
      <c r="D152" s="140">
        <v>12</v>
      </c>
      <c r="E152" s="119">
        <v>0</v>
      </c>
      <c r="F152" s="120">
        <f t="shared" si="6"/>
        <v>0</v>
      </c>
      <c r="G152" s="121">
        <v>100</v>
      </c>
      <c r="H152" s="121">
        <f t="shared" si="7"/>
        <v>0</v>
      </c>
      <c r="I152" s="121">
        <f t="shared" si="8"/>
        <v>0</v>
      </c>
      <c r="J152" s="237">
        <f t="shared" si="5"/>
        <v>0</v>
      </c>
    </row>
    <row r="153" spans="1:10" s="123" customFormat="1" ht="15" customHeight="1" hidden="1" outlineLevel="3">
      <c r="A153" s="102" t="s">
        <v>483</v>
      </c>
      <c r="B153" s="129" t="s">
        <v>370</v>
      </c>
      <c r="C153" s="120">
        <f>1/36</f>
        <v>0.027777777777777776</v>
      </c>
      <c r="D153" s="140">
        <v>12</v>
      </c>
      <c r="E153" s="119">
        <v>0</v>
      </c>
      <c r="F153" s="120">
        <f t="shared" si="6"/>
        <v>0</v>
      </c>
      <c r="G153" s="121">
        <v>1200</v>
      </c>
      <c r="H153" s="121">
        <f t="shared" si="7"/>
        <v>0</v>
      </c>
      <c r="I153" s="121">
        <f t="shared" si="8"/>
        <v>0</v>
      </c>
      <c r="J153" s="237">
        <f t="shared" si="5"/>
        <v>0</v>
      </c>
    </row>
    <row r="154" spans="1:10" s="123" customFormat="1" ht="15" customHeight="1" hidden="1" outlineLevel="3">
      <c r="A154" s="102" t="s">
        <v>484</v>
      </c>
      <c r="B154" s="129" t="s">
        <v>370</v>
      </c>
      <c r="C154" s="120">
        <f>1/12</f>
        <v>0.08333333333333333</v>
      </c>
      <c r="D154" s="140">
        <v>12</v>
      </c>
      <c r="E154" s="119">
        <v>0</v>
      </c>
      <c r="F154" s="120">
        <f t="shared" si="6"/>
        <v>0</v>
      </c>
      <c r="G154" s="121">
        <v>100</v>
      </c>
      <c r="H154" s="121">
        <f t="shared" si="7"/>
        <v>0</v>
      </c>
      <c r="I154" s="121">
        <f t="shared" si="8"/>
        <v>0</v>
      </c>
      <c r="J154" s="237">
        <f t="shared" si="5"/>
        <v>0</v>
      </c>
    </row>
    <row r="155" spans="1:10" s="123" customFormat="1" ht="15" customHeight="1" hidden="1" outlineLevel="3">
      <c r="A155" s="102" t="s">
        <v>485</v>
      </c>
      <c r="B155" s="129" t="s">
        <v>370</v>
      </c>
      <c r="C155" s="120">
        <v>0.08333333333333333</v>
      </c>
      <c r="D155" s="140">
        <v>12</v>
      </c>
      <c r="E155" s="119">
        <v>0</v>
      </c>
      <c r="F155" s="120">
        <f t="shared" si="6"/>
        <v>0</v>
      </c>
      <c r="G155" s="121">
        <v>100</v>
      </c>
      <c r="H155" s="121">
        <f t="shared" si="7"/>
        <v>0</v>
      </c>
      <c r="I155" s="121">
        <f t="shared" si="8"/>
        <v>0</v>
      </c>
      <c r="J155" s="237">
        <f t="shared" si="5"/>
        <v>0</v>
      </c>
    </row>
    <row r="156" spans="1:10" s="123" customFormat="1" ht="15" customHeight="1" hidden="1" outlineLevel="3">
      <c r="A156" s="102" t="s">
        <v>382</v>
      </c>
      <c r="B156" s="129" t="s">
        <v>370</v>
      </c>
      <c r="C156" s="120">
        <f>1/36</f>
        <v>0.027777777777777776</v>
      </c>
      <c r="D156" s="140">
        <v>12</v>
      </c>
      <c r="E156" s="119">
        <v>0</v>
      </c>
      <c r="F156" s="120">
        <f t="shared" si="6"/>
        <v>0</v>
      </c>
      <c r="G156" s="121">
        <v>1200</v>
      </c>
      <c r="H156" s="121">
        <f t="shared" si="7"/>
        <v>0</v>
      </c>
      <c r="I156" s="121">
        <f t="shared" si="8"/>
        <v>0</v>
      </c>
      <c r="J156" s="237">
        <f t="shared" si="5"/>
        <v>0</v>
      </c>
    </row>
    <row r="157" spans="1:10" s="123" customFormat="1" ht="15" customHeight="1" hidden="1" outlineLevel="3">
      <c r="A157" s="102" t="s">
        <v>372</v>
      </c>
      <c r="B157" s="129" t="s">
        <v>370</v>
      </c>
      <c r="C157" s="120">
        <v>1</v>
      </c>
      <c r="D157" s="140">
        <v>12</v>
      </c>
      <c r="E157" s="119">
        <v>0</v>
      </c>
      <c r="F157" s="120">
        <f t="shared" si="6"/>
        <v>0</v>
      </c>
      <c r="G157" s="121">
        <v>34</v>
      </c>
      <c r="H157" s="121">
        <f t="shared" si="7"/>
        <v>0</v>
      </c>
      <c r="I157" s="121">
        <f t="shared" si="8"/>
        <v>0</v>
      </c>
      <c r="J157" s="237">
        <f t="shared" si="5"/>
        <v>0</v>
      </c>
    </row>
    <row r="158" spans="1:10" s="123" customFormat="1" ht="15" customHeight="1" hidden="1" outlineLevel="3">
      <c r="A158" s="102" t="s">
        <v>376</v>
      </c>
      <c r="B158" s="129" t="s">
        <v>370</v>
      </c>
      <c r="C158" s="120">
        <f>1/12</f>
        <v>0.08333333333333333</v>
      </c>
      <c r="D158" s="140">
        <v>12</v>
      </c>
      <c r="E158" s="119">
        <v>0</v>
      </c>
      <c r="F158" s="120">
        <f>C158*D158*E158</f>
        <v>0</v>
      </c>
      <c r="G158" s="121">
        <v>120</v>
      </c>
      <c r="H158" s="121">
        <f t="shared" si="7"/>
        <v>0</v>
      </c>
      <c r="I158" s="121">
        <f t="shared" si="8"/>
        <v>0</v>
      </c>
      <c r="J158" s="237">
        <f t="shared" si="5"/>
        <v>0</v>
      </c>
    </row>
    <row r="159" spans="1:10" s="123" customFormat="1" ht="15" customHeight="1" hidden="1" outlineLevel="3">
      <c r="A159" s="102" t="s">
        <v>374</v>
      </c>
      <c r="B159" s="129" t="s">
        <v>370</v>
      </c>
      <c r="C159" s="120">
        <f>4/12</f>
        <v>0.3333333333333333</v>
      </c>
      <c r="D159" s="140">
        <v>12</v>
      </c>
      <c r="E159" s="119">
        <v>0</v>
      </c>
      <c r="F159" s="120">
        <f t="shared" si="6"/>
        <v>0</v>
      </c>
      <c r="G159" s="121">
        <v>70</v>
      </c>
      <c r="H159" s="121">
        <f t="shared" si="7"/>
        <v>0</v>
      </c>
      <c r="I159" s="121">
        <f t="shared" si="8"/>
        <v>0</v>
      </c>
      <c r="J159" s="237">
        <f t="shared" si="5"/>
        <v>0</v>
      </c>
    </row>
    <row r="160" spans="1:10" s="123" customFormat="1" ht="15" customHeight="1" hidden="1" outlineLevel="3">
      <c r="A160" s="102" t="s">
        <v>383</v>
      </c>
      <c r="B160" s="129" t="s">
        <v>370</v>
      </c>
      <c r="C160" s="120">
        <f>1/12</f>
        <v>0.08333333333333333</v>
      </c>
      <c r="D160" s="140">
        <v>12</v>
      </c>
      <c r="E160" s="119">
        <v>0</v>
      </c>
      <c r="F160" s="120">
        <f t="shared" si="6"/>
        <v>0</v>
      </c>
      <c r="G160" s="121">
        <v>100</v>
      </c>
      <c r="H160" s="121">
        <f t="shared" si="7"/>
        <v>0</v>
      </c>
      <c r="I160" s="121">
        <f t="shared" si="8"/>
        <v>0</v>
      </c>
      <c r="J160" s="237">
        <f t="shared" si="5"/>
        <v>0</v>
      </c>
    </row>
    <row r="161" spans="1:10" s="123" customFormat="1" ht="15" customHeight="1" hidden="1" outlineLevel="3">
      <c r="A161" s="102" t="s">
        <v>375</v>
      </c>
      <c r="B161" s="129" t="s">
        <v>370</v>
      </c>
      <c r="C161" s="120">
        <f>1/12</f>
        <v>0.08333333333333333</v>
      </c>
      <c r="D161" s="140">
        <v>12</v>
      </c>
      <c r="E161" s="119">
        <v>0</v>
      </c>
      <c r="F161" s="120">
        <f t="shared" si="6"/>
        <v>0</v>
      </c>
      <c r="G161" s="121">
        <v>120</v>
      </c>
      <c r="H161" s="121">
        <f t="shared" si="7"/>
        <v>0</v>
      </c>
      <c r="I161" s="121">
        <f t="shared" si="8"/>
        <v>0</v>
      </c>
      <c r="J161" s="237">
        <f t="shared" si="5"/>
        <v>0</v>
      </c>
    </row>
    <row r="162" spans="1:10" s="123" customFormat="1" ht="15" customHeight="1" hidden="1" outlineLevel="3">
      <c r="A162" s="102" t="s">
        <v>486</v>
      </c>
      <c r="B162" s="129" t="s">
        <v>370</v>
      </c>
      <c r="C162" s="120">
        <f>1/12</f>
        <v>0.08333333333333333</v>
      </c>
      <c r="D162" s="140">
        <v>12</v>
      </c>
      <c r="E162" s="119">
        <v>0</v>
      </c>
      <c r="F162" s="120">
        <f t="shared" si="6"/>
        <v>0</v>
      </c>
      <c r="G162" s="121">
        <v>70</v>
      </c>
      <c r="H162" s="121">
        <f t="shared" si="7"/>
        <v>0</v>
      </c>
      <c r="I162" s="121">
        <f t="shared" si="8"/>
        <v>0</v>
      </c>
      <c r="J162" s="237">
        <f t="shared" si="5"/>
        <v>0</v>
      </c>
    </row>
    <row r="163" spans="1:10" s="103" customFormat="1" ht="15.75" customHeight="1" hidden="1" outlineLevel="3">
      <c r="A163" s="104" t="s">
        <v>377</v>
      </c>
      <c r="B163" s="129" t="s">
        <v>370</v>
      </c>
      <c r="C163" s="130">
        <f>2</f>
        <v>2</v>
      </c>
      <c r="D163" s="129">
        <v>12</v>
      </c>
      <c r="E163" s="119">
        <v>0</v>
      </c>
      <c r="F163" s="131">
        <f t="shared" si="6"/>
        <v>0</v>
      </c>
      <c r="G163" s="133">
        <v>10</v>
      </c>
      <c r="H163" s="132">
        <f>F163*G163</f>
        <v>0</v>
      </c>
      <c r="I163" s="121">
        <f t="shared" si="8"/>
        <v>0</v>
      </c>
      <c r="J163" s="237">
        <f t="shared" si="5"/>
        <v>0</v>
      </c>
    </row>
    <row r="164" spans="1:10" s="103" customFormat="1" ht="15.75" customHeight="1" hidden="1" outlineLevel="3">
      <c r="A164" s="104" t="s">
        <v>378</v>
      </c>
      <c r="B164" s="129" t="s">
        <v>370</v>
      </c>
      <c r="C164" s="130">
        <v>0.5</v>
      </c>
      <c r="D164" s="129">
        <v>12</v>
      </c>
      <c r="E164" s="119">
        <v>0</v>
      </c>
      <c r="F164" s="131">
        <f t="shared" si="6"/>
        <v>0</v>
      </c>
      <c r="G164" s="133">
        <v>18.2</v>
      </c>
      <c r="H164" s="132">
        <f>F164*G164</f>
        <v>0</v>
      </c>
      <c r="I164" s="121">
        <f t="shared" si="8"/>
        <v>0</v>
      </c>
      <c r="J164" s="237">
        <f t="shared" si="5"/>
        <v>0</v>
      </c>
    </row>
    <row r="165" spans="1:10" s="69" customFormat="1" ht="15" customHeight="1" hidden="1" outlineLevel="1">
      <c r="A165" s="135" t="s">
        <v>60</v>
      </c>
      <c r="B165" s="68" t="s">
        <v>364</v>
      </c>
      <c r="C165" s="124" t="s">
        <v>364</v>
      </c>
      <c r="D165" s="124" t="s">
        <v>364</v>
      </c>
      <c r="E165" s="124" t="s">
        <v>364</v>
      </c>
      <c r="F165" s="125" t="s">
        <v>364</v>
      </c>
      <c r="G165" s="125" t="s">
        <v>364</v>
      </c>
      <c r="H165" s="108">
        <f>SUM(H166:H172)</f>
        <v>0</v>
      </c>
      <c r="I165" s="108">
        <f>H165/12</f>
        <v>0</v>
      </c>
      <c r="J165" s="237">
        <f t="shared" si="5"/>
        <v>0</v>
      </c>
    </row>
    <row r="166" spans="1:10" s="123" customFormat="1" ht="15" customHeight="1" hidden="1" outlineLevel="3">
      <c r="A166" s="102" t="s">
        <v>487</v>
      </c>
      <c r="B166" s="120" t="s">
        <v>488</v>
      </c>
      <c r="C166" s="141">
        <v>6</v>
      </c>
      <c r="D166" s="140">
        <v>12</v>
      </c>
      <c r="E166" s="119">
        <v>0</v>
      </c>
      <c r="F166" s="120">
        <f>C166*D166*E166</f>
        <v>0</v>
      </c>
      <c r="G166" s="121">
        <v>25</v>
      </c>
      <c r="H166" s="121">
        <f>F166*G166</f>
        <v>0</v>
      </c>
      <c r="I166" s="121">
        <f>H166/12</f>
        <v>0</v>
      </c>
      <c r="J166" s="237">
        <f t="shared" si="5"/>
        <v>0</v>
      </c>
    </row>
    <row r="167" spans="1:10" s="123" customFormat="1" ht="15" customHeight="1" hidden="1" outlineLevel="3">
      <c r="A167" s="102" t="s">
        <v>489</v>
      </c>
      <c r="B167" s="120" t="s">
        <v>368</v>
      </c>
      <c r="C167" s="141">
        <v>0.02</v>
      </c>
      <c r="D167" s="140">
        <v>12</v>
      </c>
      <c r="E167" s="119">
        <v>0</v>
      </c>
      <c r="F167" s="120">
        <f aca="true" t="shared" si="9" ref="F167:F172">C167*D167*E167</f>
        <v>0</v>
      </c>
      <c r="G167" s="121">
        <v>70</v>
      </c>
      <c r="H167" s="121">
        <f aca="true" t="shared" si="10" ref="H167:H172">F167*G167</f>
        <v>0</v>
      </c>
      <c r="I167" s="121">
        <f aca="true" t="shared" si="11" ref="I167:I172">H167/12</f>
        <v>0</v>
      </c>
      <c r="J167" s="237">
        <f t="shared" si="5"/>
        <v>0</v>
      </c>
    </row>
    <row r="168" spans="1:10" s="123" customFormat="1" ht="15" customHeight="1" hidden="1" outlineLevel="3">
      <c r="A168" s="102" t="s">
        <v>490</v>
      </c>
      <c r="B168" s="120" t="s">
        <v>491</v>
      </c>
      <c r="C168" s="141">
        <v>0.015</v>
      </c>
      <c r="D168" s="140">
        <v>183</v>
      </c>
      <c r="E168" s="119">
        <v>0</v>
      </c>
      <c r="F168" s="120">
        <f t="shared" si="9"/>
        <v>0</v>
      </c>
      <c r="G168" s="121">
        <v>70</v>
      </c>
      <c r="H168" s="121">
        <f t="shared" si="10"/>
        <v>0</v>
      </c>
      <c r="I168" s="121">
        <f t="shared" si="11"/>
        <v>0</v>
      </c>
      <c r="J168" s="237">
        <f t="shared" si="5"/>
        <v>0</v>
      </c>
    </row>
    <row r="169" spans="1:10" s="123" customFormat="1" ht="15" customHeight="1" hidden="1" outlineLevel="3">
      <c r="A169" s="102" t="s">
        <v>492</v>
      </c>
      <c r="B169" s="120" t="s">
        <v>491</v>
      </c>
      <c r="C169" s="141">
        <v>0.02</v>
      </c>
      <c r="D169" s="140">
        <v>52</v>
      </c>
      <c r="E169" s="119">
        <v>0</v>
      </c>
      <c r="F169" s="120">
        <f t="shared" si="9"/>
        <v>0</v>
      </c>
      <c r="G169" s="121">
        <v>70</v>
      </c>
      <c r="H169" s="121">
        <f t="shared" si="10"/>
        <v>0</v>
      </c>
      <c r="I169" s="121">
        <f t="shared" si="11"/>
        <v>0</v>
      </c>
      <c r="J169" s="237">
        <f t="shared" si="5"/>
        <v>0</v>
      </c>
    </row>
    <row r="170" spans="1:10" s="123" customFormat="1" ht="15" customHeight="1" hidden="1" outlineLevel="3">
      <c r="A170" s="102" t="s">
        <v>493</v>
      </c>
      <c r="B170" s="120" t="s">
        <v>494</v>
      </c>
      <c r="C170" s="141">
        <f>1.5/100</f>
        <v>0.015</v>
      </c>
      <c r="D170" s="140">
        <v>12</v>
      </c>
      <c r="E170" s="119">
        <v>0</v>
      </c>
      <c r="F170" s="120">
        <f t="shared" si="9"/>
        <v>0</v>
      </c>
      <c r="G170" s="121">
        <v>70</v>
      </c>
      <c r="H170" s="121">
        <f t="shared" si="10"/>
        <v>0</v>
      </c>
      <c r="I170" s="121">
        <f t="shared" si="11"/>
        <v>0</v>
      </c>
      <c r="J170" s="237">
        <f t="shared" si="5"/>
        <v>0</v>
      </c>
    </row>
    <row r="171" spans="1:10" s="123" customFormat="1" ht="15" customHeight="1" hidden="1" outlineLevel="3">
      <c r="A171" s="102" t="s">
        <v>495</v>
      </c>
      <c r="B171" s="120" t="s">
        <v>494</v>
      </c>
      <c r="C171" s="141">
        <f>5.38/100</f>
        <v>0.0538</v>
      </c>
      <c r="D171" s="140">
        <v>12</v>
      </c>
      <c r="E171" s="119">
        <v>0</v>
      </c>
      <c r="F171" s="120">
        <f t="shared" si="9"/>
        <v>0</v>
      </c>
      <c r="G171" s="121">
        <v>30</v>
      </c>
      <c r="H171" s="121">
        <f t="shared" si="10"/>
        <v>0</v>
      </c>
      <c r="I171" s="121">
        <f t="shared" si="11"/>
        <v>0</v>
      </c>
      <c r="J171" s="237">
        <f t="shared" si="5"/>
        <v>0</v>
      </c>
    </row>
    <row r="172" spans="1:10" s="123" customFormat="1" ht="15" customHeight="1" hidden="1" outlineLevel="3">
      <c r="A172" s="102" t="s">
        <v>496</v>
      </c>
      <c r="B172" s="120" t="s">
        <v>497</v>
      </c>
      <c r="C172" s="141">
        <f>1/60</f>
        <v>0.016666666666666666</v>
      </c>
      <c r="D172" s="140">
        <v>12</v>
      </c>
      <c r="E172" s="119">
        <v>0</v>
      </c>
      <c r="F172" s="120">
        <f t="shared" si="9"/>
        <v>0</v>
      </c>
      <c r="G172" s="121">
        <v>7800</v>
      </c>
      <c r="H172" s="121">
        <f t="shared" si="10"/>
        <v>0</v>
      </c>
      <c r="I172" s="121">
        <f t="shared" si="11"/>
        <v>0</v>
      </c>
      <c r="J172" s="237">
        <f t="shared" si="5"/>
        <v>0</v>
      </c>
    </row>
    <row r="173" spans="1:10" s="69" customFormat="1" ht="15" customHeight="1" hidden="1" outlineLevel="1">
      <c r="A173" s="142" t="s">
        <v>498</v>
      </c>
      <c r="B173" s="115" t="s">
        <v>364</v>
      </c>
      <c r="C173" s="115" t="s">
        <v>364</v>
      </c>
      <c r="D173" s="143" t="s">
        <v>364</v>
      </c>
      <c r="E173" s="116" t="s">
        <v>364</v>
      </c>
      <c r="F173" s="115" t="s">
        <v>364</v>
      </c>
      <c r="G173" s="144" t="s">
        <v>364</v>
      </c>
      <c r="H173" s="116">
        <v>0</v>
      </c>
      <c r="I173" s="116">
        <f>H173/12</f>
        <v>0</v>
      </c>
      <c r="J173" s="238">
        <f t="shared" si="5"/>
        <v>0</v>
      </c>
    </row>
    <row r="174" spans="1:10" ht="31.5" collapsed="1" thickBot="1">
      <c r="A174" s="92" t="s">
        <v>289</v>
      </c>
      <c r="B174" s="93" t="s">
        <v>359</v>
      </c>
      <c r="C174" s="93" t="s">
        <v>360</v>
      </c>
      <c r="D174" s="93" t="s">
        <v>361</v>
      </c>
      <c r="E174" s="93" t="s">
        <v>329</v>
      </c>
      <c r="F174" s="93" t="s">
        <v>362</v>
      </c>
      <c r="G174" s="94" t="s">
        <v>363</v>
      </c>
      <c r="H174" s="95">
        <v>1351.37</v>
      </c>
      <c r="I174" s="95">
        <f>H174/12</f>
        <v>112.61416666666666</v>
      </c>
      <c r="J174" s="96">
        <f t="shared" si="5"/>
        <v>0.09822430585840965</v>
      </c>
    </row>
    <row r="175" spans="1:10" s="69" customFormat="1" ht="30" customHeight="1" thickBot="1">
      <c r="A175" s="92" t="s">
        <v>531</v>
      </c>
      <c r="B175" s="93" t="s">
        <v>359</v>
      </c>
      <c r="C175" s="93" t="s">
        <v>360</v>
      </c>
      <c r="D175" s="93" t="s">
        <v>361</v>
      </c>
      <c r="E175" s="93" t="s">
        <v>329</v>
      </c>
      <c r="F175" s="93" t="s">
        <v>362</v>
      </c>
      <c r="G175" s="94" t="s">
        <v>363</v>
      </c>
      <c r="H175" s="95">
        <v>50679.93</v>
      </c>
      <c r="I175" s="95">
        <f aca="true" t="shared" si="12" ref="I175:I195">H175/12</f>
        <v>4223.3275</v>
      </c>
      <c r="J175" s="96">
        <f t="shared" si="5"/>
        <v>3.6836698648059314</v>
      </c>
    </row>
    <row r="176" spans="1:10" s="69" customFormat="1" ht="31.5" thickBot="1">
      <c r="A176" s="183" t="s">
        <v>286</v>
      </c>
      <c r="B176" s="184"/>
      <c r="C176" s="184"/>
      <c r="D176" s="184" t="s">
        <v>361</v>
      </c>
      <c r="E176" s="184" t="s">
        <v>329</v>
      </c>
      <c r="F176" s="184" t="s">
        <v>362</v>
      </c>
      <c r="G176" s="185" t="s">
        <v>363</v>
      </c>
      <c r="H176" s="186">
        <f>SUM(H177:H190)</f>
        <v>37535.04</v>
      </c>
      <c r="I176" s="186">
        <f t="shared" si="12"/>
        <v>3127.92</v>
      </c>
      <c r="J176" s="187">
        <f t="shared" si="5"/>
        <v>2.7282337549062365</v>
      </c>
    </row>
    <row r="177" spans="1:10" s="69" customFormat="1" ht="15" customHeight="1">
      <c r="A177" s="98" t="s">
        <v>276</v>
      </c>
      <c r="B177" s="99" t="s">
        <v>364</v>
      </c>
      <c r="C177" s="99" t="s">
        <v>364</v>
      </c>
      <c r="D177" s="160">
        <v>12</v>
      </c>
      <c r="E177" s="99">
        <f>E9</f>
        <v>1146.5</v>
      </c>
      <c r="F177" s="99">
        <f>D177*E177</f>
        <v>13758</v>
      </c>
      <c r="G177" s="146">
        <v>0.44</v>
      </c>
      <c r="H177" s="100">
        <f>F177*G177</f>
        <v>6053.52</v>
      </c>
      <c r="I177" s="100">
        <f t="shared" si="12"/>
        <v>504.46000000000004</v>
      </c>
      <c r="J177" s="236">
        <f t="shared" si="5"/>
        <v>0.44000000000000006</v>
      </c>
    </row>
    <row r="178" spans="1:10" s="69" customFormat="1" ht="15" customHeight="1" hidden="1">
      <c r="A178" s="106" t="s">
        <v>277</v>
      </c>
      <c r="B178" s="68" t="s">
        <v>364</v>
      </c>
      <c r="C178" s="68" t="s">
        <v>364</v>
      </c>
      <c r="D178" s="67">
        <v>12</v>
      </c>
      <c r="E178" s="68">
        <f>E11</f>
        <v>439.6</v>
      </c>
      <c r="F178" s="68">
        <f>D178*E178</f>
        <v>5275.200000000001</v>
      </c>
      <c r="G178" s="139">
        <v>0</v>
      </c>
      <c r="H178" s="108">
        <f aca="true" t="shared" si="13" ref="H178:H190">F178*G178</f>
        <v>0</v>
      </c>
      <c r="I178" s="108">
        <f t="shared" si="12"/>
        <v>0</v>
      </c>
      <c r="J178" s="237">
        <f t="shared" si="5"/>
        <v>0</v>
      </c>
    </row>
    <row r="179" spans="1:10" s="69" customFormat="1" ht="15" customHeight="1">
      <c r="A179" s="106" t="s">
        <v>278</v>
      </c>
      <c r="B179" s="68" t="s">
        <v>364</v>
      </c>
      <c r="C179" s="68" t="s">
        <v>364</v>
      </c>
      <c r="D179" s="67">
        <v>1</v>
      </c>
      <c r="E179" s="68">
        <f>E11</f>
        <v>439.6</v>
      </c>
      <c r="F179" s="68">
        <f>D179*E179</f>
        <v>439.6</v>
      </c>
      <c r="G179" s="139">
        <v>3.12</v>
      </c>
      <c r="H179" s="108">
        <f>F179*G179</f>
        <v>1371.5520000000001</v>
      </c>
      <c r="I179" s="108">
        <f t="shared" si="12"/>
        <v>114.296</v>
      </c>
      <c r="J179" s="237">
        <f t="shared" si="5"/>
        <v>0.09969123419101614</v>
      </c>
    </row>
    <row r="180" spans="1:10" s="69" customFormat="1" ht="15" customHeight="1" hidden="1">
      <c r="A180" s="106" t="s">
        <v>285</v>
      </c>
      <c r="B180" s="68" t="s">
        <v>364</v>
      </c>
      <c r="C180" s="68" t="s">
        <v>364</v>
      </c>
      <c r="D180" s="67">
        <v>12</v>
      </c>
      <c r="E180" s="68">
        <f>E10</f>
        <v>12</v>
      </c>
      <c r="F180" s="68">
        <v>0</v>
      </c>
      <c r="G180" s="139">
        <v>25</v>
      </c>
      <c r="H180" s="108">
        <f t="shared" si="13"/>
        <v>0</v>
      </c>
      <c r="I180" s="108">
        <f t="shared" si="12"/>
        <v>0</v>
      </c>
      <c r="J180" s="237">
        <f aca="true" t="shared" si="14" ref="J180:J195">I180/$E$9</f>
        <v>0</v>
      </c>
    </row>
    <row r="181" spans="1:10" s="69" customFormat="1" ht="15" customHeight="1">
      <c r="A181" s="106" t="s">
        <v>290</v>
      </c>
      <c r="B181" s="68" t="s">
        <v>380</v>
      </c>
      <c r="C181" s="68">
        <v>2.2</v>
      </c>
      <c r="D181" s="67">
        <v>1</v>
      </c>
      <c r="E181" s="68">
        <v>12</v>
      </c>
      <c r="F181" s="68">
        <f>C181*D181*E181</f>
        <v>26.400000000000002</v>
      </c>
      <c r="G181" s="139">
        <v>265.62</v>
      </c>
      <c r="H181" s="108">
        <f t="shared" si="13"/>
        <v>7012.368</v>
      </c>
      <c r="I181" s="108">
        <f t="shared" si="12"/>
        <v>584.364</v>
      </c>
      <c r="J181" s="237">
        <f t="shared" si="14"/>
        <v>0.5096938508504143</v>
      </c>
    </row>
    <row r="182" spans="1:10" s="69" customFormat="1" ht="15" customHeight="1" hidden="1">
      <c r="A182" s="106" t="s">
        <v>291</v>
      </c>
      <c r="B182" s="68" t="s">
        <v>364</v>
      </c>
      <c r="C182" s="68" t="s">
        <v>364</v>
      </c>
      <c r="D182" s="67">
        <v>12</v>
      </c>
      <c r="E182" s="68">
        <v>0</v>
      </c>
      <c r="F182" s="68">
        <f aca="true" t="shared" si="15" ref="F182:F190">D182*E182</f>
        <v>0</v>
      </c>
      <c r="G182" s="139">
        <f>216.11*1.18</f>
        <v>255.0098</v>
      </c>
      <c r="H182" s="108">
        <f t="shared" si="13"/>
        <v>0</v>
      </c>
      <c r="I182" s="108">
        <f t="shared" si="12"/>
        <v>0</v>
      </c>
      <c r="J182" s="237">
        <f t="shared" si="14"/>
        <v>0</v>
      </c>
    </row>
    <row r="183" spans="1:10" s="69" customFormat="1" ht="15" customHeight="1">
      <c r="A183" s="106" t="s">
        <v>297</v>
      </c>
      <c r="B183" s="68" t="s">
        <v>364</v>
      </c>
      <c r="C183" s="68" t="s">
        <v>364</v>
      </c>
      <c r="D183" s="67">
        <v>1</v>
      </c>
      <c r="E183" s="68">
        <f>E30</f>
        <v>12</v>
      </c>
      <c r="F183" s="68">
        <v>36</v>
      </c>
      <c r="G183" s="139">
        <v>11</v>
      </c>
      <c r="H183" s="108">
        <f>F183*G183</f>
        <v>396</v>
      </c>
      <c r="I183" s="108">
        <f t="shared" si="12"/>
        <v>33</v>
      </c>
      <c r="J183" s="237">
        <f t="shared" si="14"/>
        <v>0.02878325337985172</v>
      </c>
    </row>
    <row r="184" spans="1:10" s="69" customFormat="1" ht="15" customHeight="1">
      <c r="A184" s="106" t="s">
        <v>298</v>
      </c>
      <c r="B184" s="68" t="s">
        <v>364</v>
      </c>
      <c r="C184" s="68" t="s">
        <v>364</v>
      </c>
      <c r="D184" s="67">
        <v>4</v>
      </c>
      <c r="E184" s="68">
        <f>E31</f>
        <v>12</v>
      </c>
      <c r="F184" s="68">
        <v>36</v>
      </c>
      <c r="G184" s="139">
        <v>19</v>
      </c>
      <c r="H184" s="108">
        <f>F184*G184</f>
        <v>684</v>
      </c>
      <c r="I184" s="108">
        <f t="shared" si="12"/>
        <v>57</v>
      </c>
      <c r="J184" s="237">
        <f t="shared" si="14"/>
        <v>0.04971652856519843</v>
      </c>
    </row>
    <row r="185" spans="1:10" s="69" customFormat="1" ht="15" customHeight="1" hidden="1">
      <c r="A185" s="106" t="s">
        <v>279</v>
      </c>
      <c r="B185" s="68" t="s">
        <v>364</v>
      </c>
      <c r="C185" s="68" t="s">
        <v>364</v>
      </c>
      <c r="D185" s="67">
        <v>0</v>
      </c>
      <c r="E185" s="68">
        <v>12</v>
      </c>
      <c r="F185" s="68">
        <f t="shared" si="15"/>
        <v>0</v>
      </c>
      <c r="G185" s="139">
        <f>11.5+15.28</f>
        <v>26.78</v>
      </c>
      <c r="H185" s="108">
        <f t="shared" si="13"/>
        <v>0</v>
      </c>
      <c r="I185" s="108">
        <f t="shared" si="12"/>
        <v>0</v>
      </c>
      <c r="J185" s="237">
        <f t="shared" si="14"/>
        <v>0</v>
      </c>
    </row>
    <row r="186" spans="1:10" s="69" customFormat="1" ht="15" customHeight="1">
      <c r="A186" s="106" t="s">
        <v>295</v>
      </c>
      <c r="B186" s="68" t="s">
        <v>364</v>
      </c>
      <c r="C186" s="68" t="s">
        <v>364</v>
      </c>
      <c r="D186" s="67">
        <v>12</v>
      </c>
      <c r="E186" s="68">
        <v>300</v>
      </c>
      <c r="F186" s="68">
        <f t="shared" si="15"/>
        <v>3600</v>
      </c>
      <c r="G186" s="139">
        <v>2.77</v>
      </c>
      <c r="H186" s="108">
        <f t="shared" si="13"/>
        <v>9972</v>
      </c>
      <c r="I186" s="108">
        <f t="shared" si="12"/>
        <v>831</v>
      </c>
      <c r="J186" s="237">
        <f t="shared" si="14"/>
        <v>0.7248146532926297</v>
      </c>
    </row>
    <row r="187" spans="1:10" s="69" customFormat="1" ht="15" customHeight="1">
      <c r="A187" s="106" t="s">
        <v>296</v>
      </c>
      <c r="B187" s="68" t="s">
        <v>364</v>
      </c>
      <c r="C187" s="68" t="s">
        <v>364</v>
      </c>
      <c r="D187" s="67">
        <v>12</v>
      </c>
      <c r="E187" s="68">
        <v>300</v>
      </c>
      <c r="F187" s="68">
        <f t="shared" si="15"/>
        <v>3600</v>
      </c>
      <c r="G187" s="139">
        <v>1.28</v>
      </c>
      <c r="H187" s="108">
        <f t="shared" si="13"/>
        <v>4608</v>
      </c>
      <c r="I187" s="108">
        <f t="shared" si="12"/>
        <v>384</v>
      </c>
      <c r="J187" s="237">
        <f t="shared" si="14"/>
        <v>0.3349324029655473</v>
      </c>
    </row>
    <row r="188" spans="1:10" s="69" customFormat="1" ht="15" customHeight="1" thickBot="1">
      <c r="A188" s="106" t="s">
        <v>293</v>
      </c>
      <c r="B188" s="68" t="s">
        <v>364</v>
      </c>
      <c r="C188" s="68" t="s">
        <v>364</v>
      </c>
      <c r="D188" s="67">
        <v>12</v>
      </c>
      <c r="E188" s="68">
        <f>IF(E34=0,E10,0)</f>
        <v>12</v>
      </c>
      <c r="F188" s="68">
        <f t="shared" si="15"/>
        <v>144</v>
      </c>
      <c r="G188" s="139">
        <v>51.65</v>
      </c>
      <c r="H188" s="108">
        <f t="shared" si="13"/>
        <v>7437.599999999999</v>
      </c>
      <c r="I188" s="108">
        <f t="shared" si="12"/>
        <v>619.8</v>
      </c>
      <c r="J188" s="237">
        <f t="shared" si="14"/>
        <v>0.5406018316615787</v>
      </c>
    </row>
    <row r="189" spans="1:10" s="69" customFormat="1" ht="15" customHeight="1" hidden="1">
      <c r="A189" s="106" t="s">
        <v>292</v>
      </c>
      <c r="B189" s="68" t="s">
        <v>364</v>
      </c>
      <c r="C189" s="68" t="s">
        <v>364</v>
      </c>
      <c r="D189" s="67">
        <v>0</v>
      </c>
      <c r="E189" s="68">
        <f>E10</f>
        <v>12</v>
      </c>
      <c r="F189" s="68">
        <f>D189*E189</f>
        <v>0</v>
      </c>
      <c r="G189" s="139">
        <f>51.65+4.6*1.07</f>
        <v>56.571999999999996</v>
      </c>
      <c r="H189" s="108">
        <f>F189*G189</f>
        <v>0</v>
      </c>
      <c r="I189" s="108">
        <f>H189/12</f>
        <v>0</v>
      </c>
      <c r="J189" s="237">
        <f t="shared" si="14"/>
        <v>0</v>
      </c>
    </row>
    <row r="190" spans="1:10" s="69" customFormat="1" ht="15" customHeight="1" hidden="1">
      <c r="A190" s="106" t="s">
        <v>280</v>
      </c>
      <c r="B190" s="68" t="s">
        <v>364</v>
      </c>
      <c r="C190" s="68" t="s">
        <v>364</v>
      </c>
      <c r="D190" s="67">
        <v>12</v>
      </c>
      <c r="E190" s="68">
        <v>0</v>
      </c>
      <c r="F190" s="68">
        <f t="shared" si="15"/>
        <v>0</v>
      </c>
      <c r="G190" s="139">
        <v>0</v>
      </c>
      <c r="H190" s="108">
        <f t="shared" si="13"/>
        <v>0</v>
      </c>
      <c r="I190" s="108">
        <f t="shared" si="12"/>
        <v>0</v>
      </c>
      <c r="J190" s="237">
        <f t="shared" si="14"/>
        <v>0</v>
      </c>
    </row>
    <row r="191" spans="1:10" s="69" customFormat="1" ht="15" customHeight="1">
      <c r="A191" s="232" t="s">
        <v>283</v>
      </c>
      <c r="B191" s="233"/>
      <c r="C191" s="233"/>
      <c r="D191" s="233"/>
      <c r="E191" s="233"/>
      <c r="F191" s="233"/>
      <c r="G191" s="221"/>
      <c r="H191" s="240">
        <f>H176+H175+H174+H50+H46+H45+H44</f>
        <v>205469.94999999998</v>
      </c>
      <c r="I191" s="240">
        <f t="shared" si="12"/>
        <v>17122.49583333333</v>
      </c>
      <c r="J191" s="236">
        <f t="shared" si="14"/>
        <v>14.934579880796624</v>
      </c>
    </row>
    <row r="192" spans="1:10" s="69" customFormat="1" ht="15" customHeight="1">
      <c r="A192" s="183" t="s">
        <v>272</v>
      </c>
      <c r="B192" s="184"/>
      <c r="C192" s="184"/>
      <c r="D192" s="184"/>
      <c r="E192" s="184"/>
      <c r="F192" s="184"/>
      <c r="G192" s="185">
        <v>0.07</v>
      </c>
      <c r="H192" s="241">
        <f>H191*G192</f>
        <v>14382.8965</v>
      </c>
      <c r="I192" s="241">
        <f t="shared" si="12"/>
        <v>1198.5747083333333</v>
      </c>
      <c r="J192" s="237">
        <f t="shared" si="14"/>
        <v>1.045420591655764</v>
      </c>
    </row>
    <row r="193" spans="1:10" ht="15" customHeight="1" hidden="1">
      <c r="A193" s="183" t="s">
        <v>525</v>
      </c>
      <c r="B193" s="184"/>
      <c r="C193" s="184"/>
      <c r="D193" s="184">
        <v>12</v>
      </c>
      <c r="E193" s="184">
        <f>E9</f>
        <v>1146.5</v>
      </c>
      <c r="F193" s="184">
        <f>D193*E193</f>
        <v>13758</v>
      </c>
      <c r="G193" s="185">
        <v>0</v>
      </c>
      <c r="H193" s="241">
        <f>F193*G193</f>
        <v>0</v>
      </c>
      <c r="I193" s="241">
        <f>H193/12</f>
        <v>0</v>
      </c>
      <c r="J193" s="237">
        <f t="shared" si="14"/>
        <v>0</v>
      </c>
    </row>
    <row r="194" spans="1:10" s="69" customFormat="1" ht="15" customHeight="1">
      <c r="A194" s="183" t="s">
        <v>281</v>
      </c>
      <c r="B194" s="184"/>
      <c r="C194" s="184"/>
      <c r="D194" s="184">
        <v>12</v>
      </c>
      <c r="E194" s="184">
        <f>E9</f>
        <v>1146.5</v>
      </c>
      <c r="F194" s="184">
        <f>D194*E194</f>
        <v>13758</v>
      </c>
      <c r="G194" s="186">
        <v>17</v>
      </c>
      <c r="H194" s="241">
        <f>F194*G194</f>
        <v>233886</v>
      </c>
      <c r="I194" s="241">
        <f>H194/12</f>
        <v>19490.5</v>
      </c>
      <c r="J194" s="237">
        <f t="shared" si="14"/>
        <v>17</v>
      </c>
    </row>
    <row r="195" spans="1:10" s="69" customFormat="1" ht="15" customHeight="1" thickBot="1">
      <c r="A195" s="183" t="s">
        <v>284</v>
      </c>
      <c r="B195" s="184"/>
      <c r="C195" s="184"/>
      <c r="D195" s="184"/>
      <c r="E195" s="184"/>
      <c r="F195" s="184"/>
      <c r="G195" s="185">
        <v>0.06</v>
      </c>
      <c r="H195" s="241">
        <f>H194*G195</f>
        <v>14033.16</v>
      </c>
      <c r="I195" s="241">
        <f t="shared" si="12"/>
        <v>1169.43</v>
      </c>
      <c r="J195" s="237">
        <f t="shared" si="14"/>
        <v>1.02</v>
      </c>
    </row>
    <row r="196" spans="1:10" ht="21.75" customHeight="1" thickBot="1">
      <c r="A196" s="437" t="s">
        <v>302</v>
      </c>
      <c r="B196" s="438"/>
      <c r="C196" s="438"/>
      <c r="D196" s="438"/>
      <c r="E196" s="438"/>
      <c r="F196" s="438"/>
      <c r="G196" s="438"/>
      <c r="H196" s="438"/>
      <c r="I196" s="438"/>
      <c r="J196" s="96">
        <f>J44+J45+J46+J174+J175+J176+J192+J193+J195</f>
        <v>17.000000472452392</v>
      </c>
    </row>
    <row r="197" spans="1:10" ht="21.75" customHeight="1">
      <c r="A197" s="222"/>
      <c r="B197" s="222"/>
      <c r="C197" s="222"/>
      <c r="D197" s="222"/>
      <c r="E197" s="222"/>
      <c r="F197" s="222"/>
      <c r="G197" s="222"/>
      <c r="H197" s="222"/>
      <c r="I197" s="222"/>
      <c r="J197" s="186"/>
    </row>
    <row r="198" spans="1:10" ht="15" customHeight="1">
      <c r="A198" s="165" t="s">
        <v>509</v>
      </c>
      <c r="B198" s="166"/>
      <c r="C198" s="166"/>
      <c r="D198" s="166"/>
      <c r="E198" s="167"/>
      <c r="F198" s="167"/>
      <c r="G198" s="166"/>
      <c r="H198" s="168"/>
      <c r="I198" s="169" t="s">
        <v>510</v>
      </c>
      <c r="J198" s="72"/>
    </row>
    <row r="199" spans="1:10" ht="15" customHeight="1">
      <c r="A199" s="170"/>
      <c r="B199" s="166"/>
      <c r="C199" s="166"/>
      <c r="D199" s="166"/>
      <c r="E199" s="167"/>
      <c r="F199" s="167"/>
      <c r="G199" s="166"/>
      <c r="H199" s="171">
        <v>40634</v>
      </c>
      <c r="I199" s="169"/>
      <c r="J199" s="72"/>
    </row>
    <row r="200" spans="1:10" ht="15" customHeight="1">
      <c r="A200" s="170"/>
      <c r="B200" s="166"/>
      <c r="C200" s="166"/>
      <c r="D200" s="166"/>
      <c r="E200" s="167"/>
      <c r="F200" s="167"/>
      <c r="G200" s="166"/>
      <c r="H200" s="171"/>
      <c r="I200" s="169"/>
      <c r="J200" s="72"/>
    </row>
    <row r="201" spans="1:10" ht="15" customHeight="1">
      <c r="A201" s="170"/>
      <c r="B201" s="166"/>
      <c r="C201" s="166"/>
      <c r="D201" s="166"/>
      <c r="E201" s="167"/>
      <c r="F201" s="167"/>
      <c r="G201" s="166"/>
      <c r="H201" s="171"/>
      <c r="I201" s="169"/>
      <c r="J201" s="72"/>
    </row>
  </sheetData>
  <mergeCells count="7">
    <mergeCell ref="B7:C7"/>
    <mergeCell ref="A43:F43"/>
    <mergeCell ref="A196:I196"/>
    <mergeCell ref="G1:J1"/>
    <mergeCell ref="G2:J2"/>
    <mergeCell ref="G3:J3"/>
    <mergeCell ref="A6:I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G5" sqref="G5"/>
    </sheetView>
  </sheetViews>
  <sheetFormatPr defaultColWidth="9.00390625" defaultRowHeight="12.75"/>
  <cols>
    <col min="1" max="1" width="5.375" style="0" customWidth="1"/>
    <col min="2" max="2" width="19.625" style="0" customWidth="1"/>
    <col min="3" max="3" width="15.50390625" style="0" customWidth="1"/>
    <col min="4" max="4" width="16.125" style="0" customWidth="1"/>
    <col min="5" max="5" width="18.50390625" style="0" customWidth="1"/>
    <col min="6" max="7" width="10.50390625" style="0" customWidth="1"/>
    <col min="8" max="9" width="20.625" style="0" customWidth="1"/>
  </cols>
  <sheetData>
    <row r="1" spans="1:9" ht="15">
      <c r="A1" s="326" t="s">
        <v>112</v>
      </c>
      <c r="B1" s="326"/>
      <c r="C1" s="326"/>
      <c r="D1" s="326"/>
      <c r="E1" s="326"/>
      <c r="F1" s="326"/>
      <c r="G1" s="326"/>
      <c r="H1" s="326"/>
      <c r="I1" s="326"/>
    </row>
    <row r="2" ht="13.5" thickBot="1">
      <c r="A2" s="21"/>
    </row>
    <row r="3" spans="1:9" ht="13.5" thickBot="1">
      <c r="A3" s="322" t="s">
        <v>21</v>
      </c>
      <c r="B3" s="322" t="s">
        <v>113</v>
      </c>
      <c r="C3" s="444" t="s">
        <v>114</v>
      </c>
      <c r="D3" s="444" t="s">
        <v>115</v>
      </c>
      <c r="E3" s="444" t="s">
        <v>116</v>
      </c>
      <c r="F3" s="446" t="s">
        <v>117</v>
      </c>
      <c r="G3" s="447"/>
      <c r="H3" s="444" t="s">
        <v>118</v>
      </c>
      <c r="I3" s="444" t="s">
        <v>119</v>
      </c>
    </row>
    <row r="4" spans="1:9" ht="150" customHeight="1" thickBot="1">
      <c r="A4" s="323"/>
      <c r="B4" s="323"/>
      <c r="C4" s="445"/>
      <c r="D4" s="445"/>
      <c r="E4" s="445"/>
      <c r="F4" s="7" t="s">
        <v>120</v>
      </c>
      <c r="G4" s="7" t="s">
        <v>121</v>
      </c>
      <c r="H4" s="445"/>
      <c r="I4" s="445"/>
    </row>
    <row r="5" spans="1:9" ht="53.25" thickBot="1">
      <c r="A5" s="13">
        <v>1</v>
      </c>
      <c r="B5" s="14" t="s">
        <v>122</v>
      </c>
      <c r="C5" s="14" t="s">
        <v>123</v>
      </c>
      <c r="D5" s="14" t="s">
        <v>124</v>
      </c>
      <c r="E5" s="14" t="s">
        <v>125</v>
      </c>
      <c r="F5" s="14">
        <v>1</v>
      </c>
      <c r="G5" s="14">
        <v>23</v>
      </c>
      <c r="H5" s="22" t="s">
        <v>126</v>
      </c>
      <c r="I5" s="14"/>
    </row>
    <row r="6" spans="1:9" ht="53.25" thickBot="1">
      <c r="A6" s="13"/>
      <c r="B6" s="14"/>
      <c r="C6" s="14" t="s">
        <v>127</v>
      </c>
      <c r="D6" s="14" t="s">
        <v>124</v>
      </c>
      <c r="E6" s="14"/>
      <c r="F6" s="14"/>
      <c r="G6" s="14"/>
      <c r="H6" s="22" t="s">
        <v>128</v>
      </c>
      <c r="I6" s="14"/>
    </row>
  </sheetData>
  <mergeCells count="9">
    <mergeCell ref="A1:I1"/>
    <mergeCell ref="E3:E4"/>
    <mergeCell ref="F3:G3"/>
    <mergeCell ref="H3:H4"/>
    <mergeCell ref="I3:I4"/>
    <mergeCell ref="A3:A4"/>
    <mergeCell ref="B3:B4"/>
    <mergeCell ref="C3:C4"/>
    <mergeCell ref="D3:D4"/>
  </mergeCells>
  <hyperlinks>
    <hyperlink ref="H5" r:id="rId1" display="http://docs.adm.nov.ru/2008/2008_PA.nsf/0/0E6E7F8244647655C32574E2003CADF5?OpenDocument"/>
    <hyperlink ref="H6" r:id="rId2" display="http://docs.adm.nov.ru/2008/2008_PA.nsf/0/0E6E7F8244647655C32574E2003CADF5?OpenDocument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8" sqref="L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L44" sqref="L44"/>
    </sheetView>
  </sheetViews>
  <sheetFormatPr defaultColWidth="9.00390625" defaultRowHeight="12.75"/>
  <sheetData>
    <row r="1" ht="15">
      <c r="A1" s="4" t="s">
        <v>129</v>
      </c>
    </row>
    <row r="2" ht="15">
      <c r="A2" s="2" t="s">
        <v>130</v>
      </c>
    </row>
    <row r="3" ht="15">
      <c r="A3" s="2" t="s">
        <v>131</v>
      </c>
    </row>
    <row r="4" ht="15">
      <c r="A4" s="2" t="s">
        <v>132</v>
      </c>
    </row>
    <row r="5" ht="15">
      <c r="A5" s="2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workbookViewId="0" topLeftCell="A1">
      <selection activeCell="E9" sqref="E9"/>
    </sheetView>
  </sheetViews>
  <sheetFormatPr defaultColWidth="9.00390625" defaultRowHeight="12.75"/>
  <cols>
    <col min="1" max="1" width="32.00390625" style="0" customWidth="1"/>
    <col min="2" max="6" width="18.50390625" style="0" customWidth="1"/>
  </cols>
  <sheetData>
    <row r="1" spans="1:6" ht="15">
      <c r="A1" s="329" t="s">
        <v>562</v>
      </c>
      <c r="B1" s="329"/>
      <c r="C1" s="329"/>
      <c r="D1" s="329"/>
      <c r="E1" s="329"/>
      <c r="F1" s="329"/>
    </row>
    <row r="2" ht="15.75" thickBot="1">
      <c r="A2" s="23" t="s">
        <v>133</v>
      </c>
    </row>
    <row r="3" spans="1:6" ht="46.5" customHeight="1" thickBot="1">
      <c r="A3" s="322" t="s">
        <v>134</v>
      </c>
      <c r="B3" s="322" t="s">
        <v>135</v>
      </c>
      <c r="C3" s="322" t="s">
        <v>136</v>
      </c>
      <c r="D3" s="407" t="s">
        <v>137</v>
      </c>
      <c r="E3" s="408"/>
      <c r="F3" s="409"/>
    </row>
    <row r="4" spans="1:6" ht="47.25" thickBot="1">
      <c r="A4" s="323"/>
      <c r="B4" s="323"/>
      <c r="C4" s="323"/>
      <c r="D4" s="9" t="s">
        <v>138</v>
      </c>
      <c r="E4" s="9" t="s">
        <v>139</v>
      </c>
      <c r="F4" s="9" t="s">
        <v>140</v>
      </c>
    </row>
    <row r="5" spans="1:6" ht="31.5" thickBot="1">
      <c r="A5" s="13" t="s">
        <v>141</v>
      </c>
      <c r="B5" s="14" t="s">
        <v>142</v>
      </c>
      <c r="C5" s="14" t="s">
        <v>143</v>
      </c>
      <c r="D5" s="14" t="s">
        <v>144</v>
      </c>
      <c r="E5" s="14" t="s">
        <v>144</v>
      </c>
      <c r="F5" s="14"/>
    </row>
    <row r="6" spans="1:6" ht="15.75" thickBot="1">
      <c r="A6" s="13" t="s">
        <v>145</v>
      </c>
      <c r="B6" s="14" t="s">
        <v>146</v>
      </c>
      <c r="C6" s="14" t="s">
        <v>146</v>
      </c>
      <c r="D6" s="14"/>
      <c r="E6" s="14"/>
      <c r="F6" s="14"/>
    </row>
    <row r="7" spans="1:6" ht="15.75" thickBot="1">
      <c r="A7" s="13" t="s">
        <v>147</v>
      </c>
      <c r="B7" s="14"/>
      <c r="C7" s="14"/>
      <c r="D7" s="14"/>
      <c r="E7" s="14"/>
      <c r="F7" s="14"/>
    </row>
    <row r="8" spans="1:6" ht="15.75" thickBot="1">
      <c r="A8" s="13" t="s">
        <v>148</v>
      </c>
      <c r="B8" s="14"/>
      <c r="C8" s="14"/>
      <c r="D8" s="14"/>
      <c r="E8" s="14"/>
      <c r="F8" s="14"/>
    </row>
    <row r="9" spans="1:6" ht="15.75" thickBot="1">
      <c r="A9" s="13" t="s">
        <v>149</v>
      </c>
      <c r="B9" s="14" t="s">
        <v>150</v>
      </c>
      <c r="C9" s="14" t="s">
        <v>151</v>
      </c>
      <c r="D9" s="14"/>
      <c r="E9" s="14"/>
      <c r="F9" s="14"/>
    </row>
    <row r="10" spans="1:6" ht="15.75" thickBot="1">
      <c r="A10" s="13" t="s">
        <v>152</v>
      </c>
      <c r="B10" s="14" t="s">
        <v>153</v>
      </c>
      <c r="C10" s="14" t="s">
        <v>154</v>
      </c>
      <c r="D10" s="14" t="s">
        <v>155</v>
      </c>
      <c r="E10" s="14" t="s">
        <v>155</v>
      </c>
      <c r="F10" s="14"/>
    </row>
    <row r="11" spans="1:6" ht="15.75" thickBot="1">
      <c r="A11" s="13" t="s">
        <v>156</v>
      </c>
      <c r="B11" s="14"/>
      <c r="C11" s="14"/>
      <c r="D11" s="14"/>
      <c r="E11" s="14"/>
      <c r="F11" s="14"/>
    </row>
    <row r="12" spans="1:6" ht="15.75" thickBot="1">
      <c r="A12" s="13" t="s">
        <v>157</v>
      </c>
      <c r="B12" s="14"/>
      <c r="C12" s="14"/>
      <c r="D12" s="14"/>
      <c r="E12" s="14"/>
      <c r="F12" s="14"/>
    </row>
    <row r="13" spans="1:6" ht="15.75" thickBot="1">
      <c r="A13" s="13" t="s">
        <v>158</v>
      </c>
      <c r="B13" s="14"/>
      <c r="C13" s="14"/>
      <c r="D13" s="14"/>
      <c r="E13" s="14"/>
      <c r="F13" s="14"/>
    </row>
  </sheetData>
  <mergeCells count="5">
    <mergeCell ref="A1:F1"/>
    <mergeCell ref="A3:A4"/>
    <mergeCell ref="B3:B4"/>
    <mergeCell ref="C3:C4"/>
    <mergeCell ref="D3:F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A1">
      <selection activeCell="E15" sqref="E15"/>
    </sheetView>
  </sheetViews>
  <sheetFormatPr defaultColWidth="9.00390625" defaultRowHeight="12.75"/>
  <cols>
    <col min="2" max="2" width="29.375" style="0" customWidth="1"/>
    <col min="3" max="10" width="16.125" style="0" customWidth="1"/>
  </cols>
  <sheetData>
    <row r="1" spans="1:10" ht="15">
      <c r="A1" s="320" t="s">
        <v>20</v>
      </c>
      <c r="B1" s="320"/>
      <c r="C1" s="320"/>
      <c r="D1" s="320"/>
      <c r="E1" s="320"/>
      <c r="F1" s="320"/>
      <c r="G1" s="320"/>
      <c r="H1" s="320"/>
      <c r="I1" s="320"/>
      <c r="J1" s="320"/>
    </row>
    <row r="2" ht="15">
      <c r="A2" s="3"/>
    </row>
    <row r="3" spans="1:10" ht="26.25">
      <c r="A3" s="342" t="s">
        <v>21</v>
      </c>
      <c r="B3" s="321" t="s">
        <v>22</v>
      </c>
      <c r="C3" s="342" t="s">
        <v>23</v>
      </c>
      <c r="D3" s="342" t="s">
        <v>24</v>
      </c>
      <c r="E3" s="342" t="s">
        <v>25</v>
      </c>
      <c r="F3" s="328" t="s">
        <v>26</v>
      </c>
      <c r="G3" s="303" t="s">
        <v>27</v>
      </c>
      <c r="H3" s="303" t="s">
        <v>29</v>
      </c>
      <c r="I3" s="303" t="s">
        <v>31</v>
      </c>
      <c r="J3" s="303" t="s">
        <v>33</v>
      </c>
    </row>
    <row r="4" spans="1:10" ht="26.25">
      <c r="A4" s="342"/>
      <c r="B4" s="321"/>
      <c r="C4" s="342"/>
      <c r="D4" s="342"/>
      <c r="E4" s="342"/>
      <c r="F4" s="328"/>
      <c r="G4" s="303" t="s">
        <v>28</v>
      </c>
      <c r="H4" s="303" t="s">
        <v>30</v>
      </c>
      <c r="I4" s="303" t="s">
        <v>32</v>
      </c>
      <c r="J4" s="303" t="s">
        <v>28</v>
      </c>
    </row>
    <row r="5" spans="1:10" ht="15">
      <c r="A5" s="301">
        <v>1</v>
      </c>
      <c r="B5" s="301">
        <v>2</v>
      </c>
      <c r="C5" s="301">
        <v>3</v>
      </c>
      <c r="D5" s="301">
        <v>4</v>
      </c>
      <c r="E5" s="301">
        <v>5</v>
      </c>
      <c r="F5" s="301">
        <v>6</v>
      </c>
      <c r="G5" s="301">
        <v>7</v>
      </c>
      <c r="H5" s="301">
        <v>8</v>
      </c>
      <c r="I5" s="301">
        <v>9</v>
      </c>
      <c r="J5" s="301">
        <v>10</v>
      </c>
    </row>
    <row r="6" spans="1:10" ht="15">
      <c r="A6" s="306" t="s">
        <v>34</v>
      </c>
      <c r="B6" s="304" t="s">
        <v>657</v>
      </c>
      <c r="C6" s="304">
        <v>2611.1</v>
      </c>
      <c r="D6" s="304">
        <v>63</v>
      </c>
      <c r="E6" s="304">
        <v>23</v>
      </c>
      <c r="F6" s="305">
        <v>6</v>
      </c>
      <c r="G6" s="304" t="s">
        <v>35</v>
      </c>
      <c r="H6" s="304" t="s">
        <v>36</v>
      </c>
      <c r="I6" s="304" t="s">
        <v>35</v>
      </c>
      <c r="J6" s="304" t="s">
        <v>35</v>
      </c>
    </row>
    <row r="7" spans="1:10" ht="15">
      <c r="A7" s="306" t="s">
        <v>37</v>
      </c>
      <c r="B7" s="304" t="s">
        <v>658</v>
      </c>
      <c r="C7" s="304">
        <v>5115.6</v>
      </c>
      <c r="D7" s="304">
        <v>207</v>
      </c>
      <c r="E7" s="304">
        <v>114</v>
      </c>
      <c r="F7" s="305">
        <v>5</v>
      </c>
      <c r="G7" s="304" t="s">
        <v>36</v>
      </c>
      <c r="H7" s="304" t="s">
        <v>36</v>
      </c>
      <c r="I7" s="304" t="s">
        <v>35</v>
      </c>
      <c r="J7" s="304" t="s">
        <v>35</v>
      </c>
    </row>
    <row r="8" spans="1:10" ht="15">
      <c r="A8" s="306" t="s">
        <v>38</v>
      </c>
      <c r="B8" s="304" t="s">
        <v>656</v>
      </c>
      <c r="C8" s="304">
        <v>3332.4</v>
      </c>
      <c r="D8" s="304">
        <v>171</v>
      </c>
      <c r="E8" s="304">
        <v>70</v>
      </c>
      <c r="F8" s="305">
        <v>5</v>
      </c>
      <c r="G8" s="304" t="s">
        <v>35</v>
      </c>
      <c r="H8" s="304" t="s">
        <v>36</v>
      </c>
      <c r="I8" s="304" t="s">
        <v>35</v>
      </c>
      <c r="J8" s="304" t="s">
        <v>35</v>
      </c>
    </row>
    <row r="9" spans="1:10" ht="15">
      <c r="A9" s="306" t="s">
        <v>39</v>
      </c>
      <c r="B9" s="304" t="s">
        <v>655</v>
      </c>
      <c r="C9" s="304">
        <v>9307.8</v>
      </c>
      <c r="D9" s="304">
        <v>203</v>
      </c>
      <c r="E9" s="304">
        <v>153</v>
      </c>
      <c r="F9" s="305" t="s">
        <v>169</v>
      </c>
      <c r="G9" s="304" t="s">
        <v>35</v>
      </c>
      <c r="H9" s="304" t="s">
        <v>36</v>
      </c>
      <c r="I9" s="304">
        <v>4</v>
      </c>
      <c r="J9" s="304" t="s">
        <v>36</v>
      </c>
    </row>
    <row r="10" spans="1:10" ht="15">
      <c r="A10" s="306" t="s">
        <v>167</v>
      </c>
      <c r="B10" s="304" t="s">
        <v>661</v>
      </c>
      <c r="C10" s="304">
        <v>2435.8</v>
      </c>
      <c r="D10" s="304">
        <v>95</v>
      </c>
      <c r="E10" s="304">
        <v>60</v>
      </c>
      <c r="F10" s="305">
        <v>5</v>
      </c>
      <c r="G10" s="304" t="s">
        <v>35</v>
      </c>
      <c r="H10" s="304" t="s">
        <v>36</v>
      </c>
      <c r="I10" s="304" t="s">
        <v>35</v>
      </c>
      <c r="J10" s="304" t="s">
        <v>35</v>
      </c>
    </row>
    <row r="11" spans="1:10" ht="15">
      <c r="A11" s="306" t="s">
        <v>168</v>
      </c>
      <c r="B11" s="304" t="s">
        <v>659</v>
      </c>
      <c r="C11" s="304">
        <v>1146.5</v>
      </c>
      <c r="D11" s="304">
        <v>4</v>
      </c>
      <c r="E11" s="304">
        <v>12</v>
      </c>
      <c r="F11" s="305" t="s">
        <v>170</v>
      </c>
      <c r="G11" s="304" t="s">
        <v>35</v>
      </c>
      <c r="H11" s="304" t="s">
        <v>36</v>
      </c>
      <c r="I11" s="304" t="s">
        <v>35</v>
      </c>
      <c r="J11" s="304" t="s">
        <v>35</v>
      </c>
    </row>
    <row r="12" spans="1:10" ht="15">
      <c r="A12" s="306" t="s">
        <v>654</v>
      </c>
      <c r="B12" s="304" t="s">
        <v>660</v>
      </c>
      <c r="C12" s="304">
        <v>3327</v>
      </c>
      <c r="D12" s="304">
        <v>150</v>
      </c>
      <c r="E12" s="304">
        <v>70</v>
      </c>
      <c r="F12" s="305" t="s">
        <v>662</v>
      </c>
      <c r="G12" s="304" t="s">
        <v>35</v>
      </c>
      <c r="H12" s="304" t="s">
        <v>36</v>
      </c>
      <c r="I12" s="304" t="s">
        <v>35</v>
      </c>
      <c r="J12" s="304" t="s">
        <v>35</v>
      </c>
    </row>
    <row r="13" spans="1:10" ht="12.75">
      <c r="A13" s="307" t="s">
        <v>663</v>
      </c>
      <c r="B13" s="302" t="s">
        <v>670</v>
      </c>
      <c r="C13" s="302">
        <v>2285.7</v>
      </c>
      <c r="D13" s="302">
        <v>60</v>
      </c>
      <c r="E13" s="302">
        <v>24</v>
      </c>
      <c r="F13" s="302">
        <v>6</v>
      </c>
      <c r="G13" s="302" t="s">
        <v>35</v>
      </c>
      <c r="H13" s="302" t="s">
        <v>36</v>
      </c>
      <c r="I13" s="302" t="s">
        <v>35</v>
      </c>
      <c r="J13" s="302" t="s">
        <v>35</v>
      </c>
    </row>
    <row r="14" spans="1:10" ht="12.75">
      <c r="A14" s="307" t="s">
        <v>664</v>
      </c>
      <c r="B14" s="302" t="s">
        <v>666</v>
      </c>
      <c r="C14" s="302">
        <v>5817.7</v>
      </c>
      <c r="D14" s="302">
        <v>53</v>
      </c>
      <c r="E14" s="302">
        <v>165</v>
      </c>
      <c r="F14" s="302">
        <v>6</v>
      </c>
      <c r="G14" s="302" t="s">
        <v>36</v>
      </c>
      <c r="H14" s="302" t="s">
        <v>36</v>
      </c>
      <c r="I14" s="302" t="s">
        <v>35</v>
      </c>
      <c r="J14" s="302" t="s">
        <v>35</v>
      </c>
    </row>
    <row r="15" spans="1:10" ht="12.75">
      <c r="A15" s="307" t="s">
        <v>665</v>
      </c>
      <c r="B15" s="302" t="s">
        <v>667</v>
      </c>
      <c r="C15" s="302">
        <v>2499.8</v>
      </c>
      <c r="D15" s="302">
        <v>96</v>
      </c>
      <c r="E15" s="302">
        <v>60</v>
      </c>
      <c r="F15" s="302">
        <v>5</v>
      </c>
      <c r="G15" s="302" t="s">
        <v>35</v>
      </c>
      <c r="H15" s="302" t="s">
        <v>36</v>
      </c>
      <c r="I15" s="302" t="s">
        <v>35</v>
      </c>
      <c r="J15" s="302" t="s">
        <v>35</v>
      </c>
    </row>
    <row r="16" spans="1:10" ht="12.75">
      <c r="A16" s="307" t="s">
        <v>668</v>
      </c>
      <c r="B16" s="302" t="s">
        <v>669</v>
      </c>
      <c r="C16" s="302">
        <v>4832.5</v>
      </c>
      <c r="D16" s="302">
        <v>197</v>
      </c>
      <c r="E16" s="302">
        <v>105</v>
      </c>
      <c r="F16" s="302">
        <v>5</v>
      </c>
      <c r="G16" s="302" t="s">
        <v>35</v>
      </c>
      <c r="H16" s="302" t="s">
        <v>36</v>
      </c>
      <c r="I16" s="302" t="s">
        <v>35</v>
      </c>
      <c r="J16" s="302" t="s">
        <v>35</v>
      </c>
    </row>
    <row r="17" spans="1:10" ht="12.75">
      <c r="A17" s="307" t="s">
        <v>671</v>
      </c>
      <c r="B17" s="302" t="s">
        <v>672</v>
      </c>
      <c r="C17" s="302">
        <v>883.5</v>
      </c>
      <c r="D17" s="302"/>
      <c r="E17" s="302">
        <v>7</v>
      </c>
      <c r="F17" s="302">
        <v>3</v>
      </c>
      <c r="G17" s="302" t="s">
        <v>35</v>
      </c>
      <c r="H17" s="302" t="s">
        <v>36</v>
      </c>
      <c r="I17" s="302" t="s">
        <v>35</v>
      </c>
      <c r="J17" s="302" t="s">
        <v>35</v>
      </c>
    </row>
  </sheetData>
  <mergeCells count="7">
    <mergeCell ref="E3:E4"/>
    <mergeCell ref="F3:F4"/>
    <mergeCell ref="A1:J1"/>
    <mergeCell ref="A3:A4"/>
    <mergeCell ref="B3:B4"/>
    <mergeCell ref="C3:C4"/>
    <mergeCell ref="D3:D4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8" sqref="A18"/>
    </sheetView>
  </sheetViews>
  <sheetFormatPr defaultColWidth="9.00390625" defaultRowHeight="12.75"/>
  <cols>
    <col min="1" max="1" width="98.50390625" style="0" customWidth="1"/>
  </cols>
  <sheetData>
    <row r="1" ht="30.75">
      <c r="A1" s="12" t="s">
        <v>159</v>
      </c>
    </row>
    <row r="2" ht="15">
      <c r="A2" s="11" t="s">
        <v>160</v>
      </c>
    </row>
    <row r="3" ht="15">
      <c r="A3" s="11" t="s">
        <v>161</v>
      </c>
    </row>
    <row r="4" ht="15">
      <c r="A4" s="11" t="s">
        <v>162</v>
      </c>
    </row>
    <row r="5" ht="15">
      <c r="A5" s="11" t="s">
        <v>163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33" sqref="A33"/>
    </sheetView>
  </sheetViews>
  <sheetFormatPr defaultColWidth="9.00390625" defaultRowHeight="12.75"/>
  <cols>
    <col min="1" max="1" width="81.125" style="0" customWidth="1"/>
  </cols>
  <sheetData>
    <row r="1" ht="30.75">
      <c r="A1" s="12" t="s">
        <v>164</v>
      </c>
    </row>
    <row r="2" ht="15">
      <c r="A2" s="12" t="s">
        <v>165</v>
      </c>
    </row>
    <row r="3" ht="15">
      <c r="A3" s="11" t="s">
        <v>166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workbookViewId="0" topLeftCell="A1">
      <selection activeCell="B33" sqref="B33"/>
    </sheetView>
  </sheetViews>
  <sheetFormatPr defaultColWidth="9.00390625" defaultRowHeight="12.75"/>
  <cols>
    <col min="1" max="3" width="53.875" style="0" customWidth="1"/>
  </cols>
  <sheetData>
    <row r="1" spans="1:3" ht="15">
      <c r="A1" s="329" t="s">
        <v>40</v>
      </c>
      <c r="B1" s="329"/>
      <c r="C1" s="329"/>
    </row>
    <row r="2" ht="15.75" thickBot="1">
      <c r="A2" s="12"/>
    </row>
    <row r="3" spans="1:3" ht="78" customHeight="1">
      <c r="A3" s="10" t="s">
        <v>41</v>
      </c>
      <c r="B3" s="322" t="s">
        <v>43</v>
      </c>
      <c r="C3" s="322" t="s">
        <v>44</v>
      </c>
    </row>
    <row r="4" spans="1:3" ht="15.75" thickBot="1">
      <c r="A4" s="8" t="s">
        <v>42</v>
      </c>
      <c r="B4" s="323"/>
      <c r="C4" s="323"/>
    </row>
    <row r="5" spans="1:3" ht="15.75" thickBot="1">
      <c r="A5" s="13"/>
      <c r="B5" s="14" t="s">
        <v>35</v>
      </c>
      <c r="C5" s="14"/>
    </row>
  </sheetData>
  <mergeCells count="3">
    <mergeCell ref="B3:B4"/>
    <mergeCell ref="C3:C4"/>
    <mergeCell ref="A1:C1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8"/>
  <sheetViews>
    <sheetView workbookViewId="0" topLeftCell="A13">
      <selection activeCell="A54" sqref="A54:B54"/>
    </sheetView>
  </sheetViews>
  <sheetFormatPr defaultColWidth="9.00390625" defaultRowHeight="12.75"/>
  <cols>
    <col min="1" max="1" width="8.50390625" style="0" customWidth="1"/>
    <col min="2" max="2" width="58.625" style="0" customWidth="1"/>
  </cols>
  <sheetData>
    <row r="1" spans="1:6" ht="15">
      <c r="A1" s="329" t="s">
        <v>171</v>
      </c>
      <c r="B1" s="329"/>
      <c r="C1" s="329"/>
      <c r="D1" s="329"/>
      <c r="E1" s="329"/>
      <c r="F1" s="329"/>
    </row>
    <row r="2" spans="1:6" ht="15">
      <c r="A2" s="326" t="s">
        <v>172</v>
      </c>
      <c r="B2" s="326"/>
      <c r="C2" s="326"/>
      <c r="D2" s="326"/>
      <c r="E2" s="326"/>
      <c r="F2" s="326"/>
    </row>
    <row r="3" spans="1:6" ht="12.75">
      <c r="A3" s="24"/>
      <c r="B3" s="24"/>
      <c r="C3" s="24"/>
      <c r="D3" s="24"/>
      <c r="E3" s="24"/>
      <c r="F3" s="24"/>
    </row>
    <row r="4" spans="1:6" ht="13.5">
      <c r="A4" s="400" t="s">
        <v>173</v>
      </c>
      <c r="B4" s="400"/>
      <c r="C4" s="400"/>
      <c r="D4" s="400"/>
      <c r="E4" s="24"/>
      <c r="F4" s="24"/>
    </row>
    <row r="5" spans="1:6" ht="14.25" thickBot="1">
      <c r="A5" s="400" t="s">
        <v>174</v>
      </c>
      <c r="B5" s="400"/>
      <c r="C5" s="400"/>
      <c r="D5" s="400"/>
      <c r="E5" s="24"/>
      <c r="F5" s="24"/>
    </row>
    <row r="6" spans="1:6" ht="13.5" thickBot="1">
      <c r="A6" s="24"/>
      <c r="B6" s="24"/>
      <c r="C6" s="24"/>
      <c r="D6" s="24"/>
      <c r="E6" s="401" t="s">
        <v>175</v>
      </c>
      <c r="F6" s="402"/>
    </row>
    <row r="7" spans="1:6" ht="14.25" thickBot="1">
      <c r="A7" s="24"/>
      <c r="B7" s="24"/>
      <c r="C7" s="25"/>
      <c r="D7" s="26" t="s">
        <v>176</v>
      </c>
      <c r="E7" s="403">
        <v>710001</v>
      </c>
      <c r="F7" s="404"/>
    </row>
    <row r="8" spans="1:6" ht="13.5" thickBot="1">
      <c r="A8" s="24"/>
      <c r="B8" s="24"/>
      <c r="C8" s="24"/>
      <c r="D8" s="26" t="s">
        <v>177</v>
      </c>
      <c r="E8" s="403" t="s">
        <v>178</v>
      </c>
      <c r="F8" s="404"/>
    </row>
    <row r="9" spans="1:6" ht="13.5" thickBot="1">
      <c r="A9" s="27" t="s">
        <v>179</v>
      </c>
      <c r="B9" s="325"/>
      <c r="C9" s="325"/>
      <c r="D9" s="26" t="s">
        <v>180</v>
      </c>
      <c r="E9" s="394">
        <v>62427648</v>
      </c>
      <c r="F9" s="395"/>
    </row>
    <row r="10" spans="1:6" ht="13.5" thickBot="1">
      <c r="A10" s="382" t="s">
        <v>181</v>
      </c>
      <c r="B10" s="382"/>
      <c r="C10" s="24"/>
      <c r="D10" s="26" t="s">
        <v>182</v>
      </c>
      <c r="E10" s="403" t="s">
        <v>183</v>
      </c>
      <c r="F10" s="404"/>
    </row>
    <row r="11" spans="1:6" ht="13.5" thickBot="1">
      <c r="A11" s="27" t="s">
        <v>184</v>
      </c>
      <c r="B11" s="325"/>
      <c r="C11" s="325"/>
      <c r="D11" s="26" t="s">
        <v>185</v>
      </c>
      <c r="E11" s="394" t="s">
        <v>186</v>
      </c>
      <c r="F11" s="395"/>
    </row>
    <row r="12" spans="1:6" ht="12.75">
      <c r="A12" s="382" t="s">
        <v>187</v>
      </c>
      <c r="B12" s="382"/>
      <c r="C12" s="24"/>
      <c r="D12" s="24"/>
      <c r="E12" s="398"/>
      <c r="F12" s="28"/>
    </row>
    <row r="13" spans="1:6" ht="12.75">
      <c r="A13" s="24"/>
      <c r="B13" s="24"/>
      <c r="C13" s="24"/>
      <c r="D13" s="26" t="s">
        <v>188</v>
      </c>
      <c r="E13" s="399"/>
      <c r="F13" s="28"/>
    </row>
    <row r="14" spans="1:6" ht="13.5" thickBot="1">
      <c r="A14" s="382" t="s">
        <v>189</v>
      </c>
      <c r="B14" s="382"/>
      <c r="C14" s="24"/>
      <c r="D14" s="26" t="s">
        <v>190</v>
      </c>
      <c r="E14" s="396">
        <v>384</v>
      </c>
      <c r="F14" s="397"/>
    </row>
    <row r="15" spans="1:6" ht="12.75">
      <c r="A15" s="382" t="s">
        <v>191</v>
      </c>
      <c r="B15" s="382"/>
      <c r="C15" s="24"/>
      <c r="D15" s="24"/>
      <c r="E15" s="24"/>
      <c r="F15" s="24"/>
    </row>
    <row r="16" spans="1:6" ht="24" customHeight="1" thickBot="1">
      <c r="A16" s="383" t="s">
        <v>192</v>
      </c>
      <c r="B16" s="383"/>
      <c r="C16" s="383"/>
      <c r="D16" s="383"/>
      <c r="E16" s="383"/>
      <c r="F16" s="383"/>
    </row>
    <row r="17" spans="1:6" ht="13.5" thickBot="1">
      <c r="A17" s="24"/>
      <c r="B17" s="24"/>
      <c r="C17" s="24"/>
      <c r="D17" s="24"/>
      <c r="E17" s="24"/>
      <c r="F17" s="24"/>
    </row>
    <row r="18" spans="1:6" ht="13.5" thickBot="1">
      <c r="A18" s="24"/>
      <c r="B18" s="24"/>
      <c r="C18" s="24"/>
      <c r="D18" s="24"/>
      <c r="E18" s="26" t="s">
        <v>193</v>
      </c>
      <c r="F18" s="29" t="s">
        <v>194</v>
      </c>
    </row>
    <row r="19" spans="1:6" ht="13.5" thickBot="1">
      <c r="A19" s="24"/>
      <c r="B19" s="24"/>
      <c r="C19" s="24"/>
      <c r="D19" s="30"/>
      <c r="E19" s="26" t="s">
        <v>195</v>
      </c>
      <c r="F19" s="31" t="s">
        <v>194</v>
      </c>
    </row>
    <row r="20" spans="1:6" ht="13.5" thickBot="1">
      <c r="A20" s="24"/>
      <c r="B20" s="24"/>
      <c r="C20" s="24"/>
      <c r="D20" s="24"/>
      <c r="E20" s="24"/>
      <c r="F20" s="24"/>
    </row>
    <row r="21" spans="1:6" ht="12.75">
      <c r="A21" s="384" t="s">
        <v>196</v>
      </c>
      <c r="B21" s="385"/>
      <c r="C21" s="32" t="s">
        <v>197</v>
      </c>
      <c r="D21" s="388" t="s">
        <v>199</v>
      </c>
      <c r="E21" s="389"/>
      <c r="F21" s="392" t="s">
        <v>200</v>
      </c>
    </row>
    <row r="22" spans="1:6" ht="23.25" thickBot="1">
      <c r="A22" s="386"/>
      <c r="B22" s="387"/>
      <c r="C22" s="33" t="s">
        <v>198</v>
      </c>
      <c r="D22" s="390"/>
      <c r="E22" s="391"/>
      <c r="F22" s="393"/>
    </row>
    <row r="23" spans="1:6" ht="13.5" thickBot="1">
      <c r="A23" s="376">
        <v>1</v>
      </c>
      <c r="B23" s="377"/>
      <c r="C23" s="34">
        <v>2</v>
      </c>
      <c r="D23" s="376">
        <v>3</v>
      </c>
      <c r="E23" s="377"/>
      <c r="F23" s="34">
        <v>4</v>
      </c>
    </row>
    <row r="24" spans="1:6" ht="13.5" thickBot="1">
      <c r="A24" s="368" t="s">
        <v>201</v>
      </c>
      <c r="B24" s="369"/>
      <c r="C24" s="35"/>
      <c r="D24" s="360"/>
      <c r="E24" s="361"/>
      <c r="F24" s="17"/>
    </row>
    <row r="25" spans="1:6" ht="13.5" thickBot="1">
      <c r="A25" s="354" t="s">
        <v>202</v>
      </c>
      <c r="B25" s="355"/>
      <c r="C25" s="36">
        <v>110</v>
      </c>
      <c r="D25" s="313" t="s">
        <v>203</v>
      </c>
      <c r="E25" s="314"/>
      <c r="F25" s="37" t="s">
        <v>203</v>
      </c>
    </row>
    <row r="26" spans="1:6" ht="13.5" thickBot="1">
      <c r="A26" s="354" t="s">
        <v>204</v>
      </c>
      <c r="B26" s="355"/>
      <c r="C26" s="36">
        <v>120</v>
      </c>
      <c r="D26" s="313" t="s">
        <v>203</v>
      </c>
      <c r="E26" s="314"/>
      <c r="F26" s="37" t="s">
        <v>203</v>
      </c>
    </row>
    <row r="27" spans="1:6" ht="13.5" thickBot="1">
      <c r="A27" s="354" t="s">
        <v>205</v>
      </c>
      <c r="B27" s="355"/>
      <c r="C27" s="36">
        <v>130</v>
      </c>
      <c r="D27" s="313" t="s">
        <v>203</v>
      </c>
      <c r="E27" s="314"/>
      <c r="F27" s="37" t="s">
        <v>203</v>
      </c>
    </row>
    <row r="28" spans="1:6" ht="13.5" thickBot="1">
      <c r="A28" s="354" t="s">
        <v>206</v>
      </c>
      <c r="B28" s="355"/>
      <c r="C28" s="36">
        <v>135</v>
      </c>
      <c r="D28" s="313" t="s">
        <v>203</v>
      </c>
      <c r="E28" s="314"/>
      <c r="F28" s="37" t="s">
        <v>203</v>
      </c>
    </row>
    <row r="29" spans="1:6" ht="13.5" thickBot="1">
      <c r="A29" s="354" t="s">
        <v>207</v>
      </c>
      <c r="B29" s="355"/>
      <c r="C29" s="36">
        <v>140</v>
      </c>
      <c r="D29" s="313" t="s">
        <v>203</v>
      </c>
      <c r="E29" s="314"/>
      <c r="F29" s="37" t="s">
        <v>203</v>
      </c>
    </row>
    <row r="30" spans="1:6" ht="13.5" thickBot="1">
      <c r="A30" s="354" t="s">
        <v>208</v>
      </c>
      <c r="B30" s="355"/>
      <c r="C30" s="36">
        <v>145</v>
      </c>
      <c r="D30" s="313" t="s">
        <v>203</v>
      </c>
      <c r="E30" s="314"/>
      <c r="F30" s="37" t="s">
        <v>203</v>
      </c>
    </row>
    <row r="31" spans="1:6" ht="13.5" thickBot="1">
      <c r="A31" s="354" t="s">
        <v>209</v>
      </c>
      <c r="B31" s="355"/>
      <c r="C31" s="36">
        <v>150</v>
      </c>
      <c r="D31" s="313" t="s">
        <v>203</v>
      </c>
      <c r="E31" s="314"/>
      <c r="F31" s="37" t="s">
        <v>203</v>
      </c>
    </row>
    <row r="32" spans="1:6" ht="13.5" thickBot="1">
      <c r="A32" s="16"/>
      <c r="B32" s="38" t="s">
        <v>210</v>
      </c>
      <c r="C32" s="39">
        <v>190</v>
      </c>
      <c r="D32" s="344" t="s">
        <v>203</v>
      </c>
      <c r="E32" s="345"/>
      <c r="F32" s="40" t="s">
        <v>203</v>
      </c>
    </row>
    <row r="33" spans="1:6" ht="13.5" thickBot="1">
      <c r="A33" s="368" t="s">
        <v>211</v>
      </c>
      <c r="B33" s="369"/>
      <c r="C33" s="41"/>
      <c r="D33" s="360"/>
      <c r="E33" s="361"/>
      <c r="F33" s="17"/>
    </row>
    <row r="34" spans="1:6" ht="13.5" thickBot="1">
      <c r="A34" s="354" t="s">
        <v>212</v>
      </c>
      <c r="B34" s="355"/>
      <c r="C34" s="36">
        <v>210</v>
      </c>
      <c r="D34" s="313" t="s">
        <v>203</v>
      </c>
      <c r="E34" s="314"/>
      <c r="F34" s="37">
        <v>32</v>
      </c>
    </row>
    <row r="35" spans="1:6" ht="12.75">
      <c r="A35" s="18"/>
      <c r="B35" s="27" t="s">
        <v>213</v>
      </c>
      <c r="C35" s="42"/>
      <c r="D35" s="356"/>
      <c r="E35" s="357"/>
      <c r="F35" s="43"/>
    </row>
    <row r="36" spans="1:6" ht="13.5" thickBot="1">
      <c r="A36" s="18"/>
      <c r="B36" s="27" t="s">
        <v>214</v>
      </c>
      <c r="C36" s="36">
        <v>211</v>
      </c>
      <c r="D36" s="311" t="s">
        <v>203</v>
      </c>
      <c r="E36" s="343"/>
      <c r="F36" s="37">
        <v>28</v>
      </c>
    </row>
    <row r="37" spans="1:6" ht="13.5" thickBot="1">
      <c r="A37" s="18"/>
      <c r="B37" s="27" t="s">
        <v>215</v>
      </c>
      <c r="C37" s="36">
        <v>212</v>
      </c>
      <c r="D37" s="313" t="s">
        <v>203</v>
      </c>
      <c r="E37" s="314"/>
      <c r="F37" s="37" t="s">
        <v>203</v>
      </c>
    </row>
    <row r="38" spans="1:6" ht="13.5" thickBot="1">
      <c r="A38" s="18"/>
      <c r="B38" s="44" t="s">
        <v>216</v>
      </c>
      <c r="C38" s="36">
        <v>213</v>
      </c>
      <c r="D38" s="313" t="s">
        <v>203</v>
      </c>
      <c r="E38" s="314"/>
      <c r="F38" s="37" t="s">
        <v>203</v>
      </c>
    </row>
    <row r="39" spans="1:6" ht="13.5" thickBot="1">
      <c r="A39" s="18"/>
      <c r="B39" s="44" t="s">
        <v>217</v>
      </c>
      <c r="C39" s="36">
        <v>214</v>
      </c>
      <c r="D39" s="313" t="s">
        <v>203</v>
      </c>
      <c r="E39" s="314"/>
      <c r="F39" s="37" t="s">
        <v>203</v>
      </c>
    </row>
    <row r="40" spans="1:6" ht="13.5" thickBot="1">
      <c r="A40" s="18"/>
      <c r="B40" s="27" t="s">
        <v>218</v>
      </c>
      <c r="C40" s="36">
        <v>215</v>
      </c>
      <c r="D40" s="313" t="s">
        <v>203</v>
      </c>
      <c r="E40" s="314"/>
      <c r="F40" s="37" t="s">
        <v>203</v>
      </c>
    </row>
    <row r="41" spans="1:6" ht="13.5" thickBot="1">
      <c r="A41" s="18"/>
      <c r="B41" s="27" t="s">
        <v>219</v>
      </c>
      <c r="C41" s="36">
        <v>216</v>
      </c>
      <c r="D41" s="313" t="s">
        <v>203</v>
      </c>
      <c r="E41" s="314"/>
      <c r="F41" s="37">
        <v>4</v>
      </c>
    </row>
    <row r="42" spans="1:6" ht="13.5" thickBot="1">
      <c r="A42" s="18"/>
      <c r="B42" s="27" t="s">
        <v>220</v>
      </c>
      <c r="C42" s="36">
        <v>217</v>
      </c>
      <c r="D42" s="313" t="s">
        <v>203</v>
      </c>
      <c r="E42" s="314"/>
      <c r="F42" s="37" t="s">
        <v>203</v>
      </c>
    </row>
    <row r="43" spans="1:6" ht="13.5" thickBot="1">
      <c r="A43" s="354" t="s">
        <v>221</v>
      </c>
      <c r="B43" s="355"/>
      <c r="C43" s="36">
        <v>220</v>
      </c>
      <c r="D43" s="313" t="s">
        <v>203</v>
      </c>
      <c r="E43" s="314"/>
      <c r="F43" s="37" t="s">
        <v>203</v>
      </c>
    </row>
    <row r="44" spans="1:6" ht="13.5" thickBot="1">
      <c r="A44" s="380" t="s">
        <v>222</v>
      </c>
      <c r="B44" s="381"/>
      <c r="C44" s="36">
        <v>230</v>
      </c>
      <c r="D44" s="309" t="s">
        <v>203</v>
      </c>
      <c r="E44" s="310"/>
      <c r="F44" s="37" t="s">
        <v>203</v>
      </c>
    </row>
    <row r="45" spans="1:6" ht="13.5" thickBot="1">
      <c r="A45" s="380"/>
      <c r="B45" s="381"/>
      <c r="C45" s="36"/>
      <c r="D45" s="311"/>
      <c r="E45" s="343"/>
      <c r="F45" s="37"/>
    </row>
    <row r="46" spans="1:6" ht="12.75">
      <c r="A46" s="18"/>
      <c r="B46" s="27" t="s">
        <v>213</v>
      </c>
      <c r="C46" s="42"/>
      <c r="D46" s="356"/>
      <c r="E46" s="357"/>
      <c r="F46" s="43"/>
    </row>
    <row r="47" spans="1:6" ht="13.5" thickBot="1">
      <c r="A47" s="18"/>
      <c r="B47" s="27" t="s">
        <v>223</v>
      </c>
      <c r="C47" s="36">
        <v>231</v>
      </c>
      <c r="D47" s="311" t="s">
        <v>203</v>
      </c>
      <c r="E47" s="343"/>
      <c r="F47" s="37" t="s">
        <v>203</v>
      </c>
    </row>
    <row r="48" spans="1:6" ht="13.5" thickBot="1">
      <c r="A48" s="380" t="s">
        <v>224</v>
      </c>
      <c r="B48" s="381"/>
      <c r="C48" s="36">
        <v>240</v>
      </c>
      <c r="D48" s="309" t="s">
        <v>203</v>
      </c>
      <c r="E48" s="310"/>
      <c r="F48" s="37">
        <v>330</v>
      </c>
    </row>
    <row r="49" spans="1:6" ht="13.5" thickBot="1">
      <c r="A49" s="380"/>
      <c r="B49" s="381"/>
      <c r="C49" s="36"/>
      <c r="D49" s="311"/>
      <c r="E49" s="343"/>
      <c r="F49" s="37">
        <v>330</v>
      </c>
    </row>
    <row r="50" spans="1:6" ht="12.75">
      <c r="A50" s="18"/>
      <c r="B50" s="27" t="s">
        <v>213</v>
      </c>
      <c r="C50" s="42"/>
      <c r="D50" s="356"/>
      <c r="E50" s="357"/>
      <c r="F50" s="43"/>
    </row>
    <row r="51" spans="1:6" ht="13.5" thickBot="1">
      <c r="A51" s="18"/>
      <c r="B51" s="27" t="s">
        <v>223</v>
      </c>
      <c r="C51" s="36">
        <v>241</v>
      </c>
      <c r="D51" s="311" t="s">
        <v>203</v>
      </c>
      <c r="E51" s="343"/>
      <c r="F51" s="37">
        <v>325</v>
      </c>
    </row>
    <row r="52" spans="1:6" ht="13.5" thickBot="1">
      <c r="A52" s="354" t="s">
        <v>225</v>
      </c>
      <c r="B52" s="355"/>
      <c r="C52" s="36">
        <v>250</v>
      </c>
      <c r="D52" s="313" t="s">
        <v>203</v>
      </c>
      <c r="E52" s="314"/>
      <c r="F52" s="37" t="s">
        <v>203</v>
      </c>
    </row>
    <row r="53" spans="1:6" ht="13.5" thickBot="1">
      <c r="A53" s="354" t="s">
        <v>226</v>
      </c>
      <c r="B53" s="355"/>
      <c r="C53" s="36">
        <v>260</v>
      </c>
      <c r="D53" s="313" t="s">
        <v>203</v>
      </c>
      <c r="E53" s="314"/>
      <c r="F53" s="37">
        <v>24</v>
      </c>
    </row>
    <row r="54" spans="1:6" ht="13.5" thickBot="1">
      <c r="A54" s="354" t="s">
        <v>227</v>
      </c>
      <c r="B54" s="355"/>
      <c r="C54" s="36">
        <v>270</v>
      </c>
      <c r="D54" s="313" t="s">
        <v>203</v>
      </c>
      <c r="E54" s="314"/>
      <c r="F54" s="37" t="s">
        <v>203</v>
      </c>
    </row>
    <row r="55" spans="1:6" ht="13.5" thickBot="1">
      <c r="A55" s="45"/>
      <c r="B55" s="46" t="s">
        <v>228</v>
      </c>
      <c r="C55" s="39">
        <v>290</v>
      </c>
      <c r="D55" s="344" t="s">
        <v>203</v>
      </c>
      <c r="E55" s="345"/>
      <c r="F55" s="40">
        <v>386</v>
      </c>
    </row>
    <row r="56" spans="1:6" ht="13.5" thickBot="1">
      <c r="A56" s="378" t="s">
        <v>229</v>
      </c>
      <c r="B56" s="379"/>
      <c r="C56" s="39">
        <v>300</v>
      </c>
      <c r="D56" s="344" t="s">
        <v>203</v>
      </c>
      <c r="E56" s="345"/>
      <c r="F56" s="40">
        <v>386</v>
      </c>
    </row>
    <row r="57" spans="1:6" ht="13.5" thickBot="1">
      <c r="A57" s="24"/>
      <c r="B57" s="24"/>
      <c r="C57" s="24"/>
      <c r="D57" s="24"/>
      <c r="E57" s="24"/>
      <c r="F57" s="47" t="s">
        <v>230</v>
      </c>
    </row>
    <row r="58" spans="1:6" ht="22.5" customHeight="1">
      <c r="A58" s="368" t="s">
        <v>231</v>
      </c>
      <c r="B58" s="369"/>
      <c r="C58" s="15" t="s">
        <v>197</v>
      </c>
      <c r="D58" s="350" t="s">
        <v>199</v>
      </c>
      <c r="E58" s="351"/>
      <c r="F58" s="374" t="s">
        <v>200</v>
      </c>
    </row>
    <row r="59" spans="1:6" ht="13.5" thickBot="1">
      <c r="A59" s="370"/>
      <c r="B59" s="371"/>
      <c r="C59" s="48" t="s">
        <v>232</v>
      </c>
      <c r="D59" s="372"/>
      <c r="E59" s="373"/>
      <c r="F59" s="375"/>
    </row>
    <row r="60" spans="1:6" ht="13.5" thickBot="1">
      <c r="A60" s="376">
        <v>1</v>
      </c>
      <c r="B60" s="377"/>
      <c r="C60" s="34">
        <v>2</v>
      </c>
      <c r="D60" s="376">
        <v>3</v>
      </c>
      <c r="E60" s="377"/>
      <c r="F60" s="34">
        <v>4</v>
      </c>
    </row>
    <row r="61" spans="1:6" ht="13.5" thickBot="1">
      <c r="A61" s="368" t="s">
        <v>233</v>
      </c>
      <c r="B61" s="369"/>
      <c r="C61" s="35"/>
      <c r="D61" s="360"/>
      <c r="E61" s="361"/>
      <c r="F61" s="17"/>
    </row>
    <row r="62" spans="1:6" ht="13.5" thickBot="1">
      <c r="A62" s="354" t="s">
        <v>234</v>
      </c>
      <c r="B62" s="355"/>
      <c r="C62" s="36">
        <v>410</v>
      </c>
      <c r="D62" s="313" t="s">
        <v>203</v>
      </c>
      <c r="E62" s="314"/>
      <c r="F62" s="49">
        <v>10</v>
      </c>
    </row>
    <row r="63" spans="1:6" ht="13.5" thickBot="1">
      <c r="A63" s="354" t="s">
        <v>235</v>
      </c>
      <c r="B63" s="355"/>
      <c r="C63" s="36">
        <v>411</v>
      </c>
      <c r="D63" s="313" t="s">
        <v>203</v>
      </c>
      <c r="E63" s="314"/>
      <c r="F63" s="49" t="s">
        <v>203</v>
      </c>
    </row>
    <row r="64" spans="1:6" ht="13.5" thickBot="1">
      <c r="A64" s="354" t="s">
        <v>236</v>
      </c>
      <c r="B64" s="355"/>
      <c r="C64" s="36">
        <v>420</v>
      </c>
      <c r="D64" s="313" t="s">
        <v>203</v>
      </c>
      <c r="E64" s="314"/>
      <c r="F64" s="49" t="s">
        <v>203</v>
      </c>
    </row>
    <row r="65" spans="1:6" ht="13.5" thickBot="1">
      <c r="A65" s="354" t="s">
        <v>237</v>
      </c>
      <c r="B65" s="355"/>
      <c r="C65" s="36">
        <v>430</v>
      </c>
      <c r="D65" s="313" t="s">
        <v>203</v>
      </c>
      <c r="E65" s="314"/>
      <c r="F65" s="49" t="s">
        <v>203</v>
      </c>
    </row>
    <row r="66" spans="1:6" ht="12.75">
      <c r="A66" s="18"/>
      <c r="B66" s="27" t="s">
        <v>213</v>
      </c>
      <c r="C66" s="42"/>
      <c r="D66" s="356"/>
      <c r="E66" s="357"/>
      <c r="F66" s="50"/>
    </row>
    <row r="67" spans="1:6" ht="12.75">
      <c r="A67" s="354"/>
      <c r="B67" s="44" t="s">
        <v>238</v>
      </c>
      <c r="C67" s="364">
        <v>431</v>
      </c>
      <c r="D67" s="366" t="s">
        <v>203</v>
      </c>
      <c r="E67" s="367"/>
      <c r="F67" s="362" t="s">
        <v>203</v>
      </c>
    </row>
    <row r="68" spans="1:6" ht="13.5" thickBot="1">
      <c r="A68" s="354"/>
      <c r="B68" s="44" t="s">
        <v>239</v>
      </c>
      <c r="C68" s="365"/>
      <c r="D68" s="366"/>
      <c r="E68" s="367"/>
      <c r="F68" s="363"/>
    </row>
    <row r="69" spans="1:6" ht="13.5" thickBot="1">
      <c r="A69" s="18"/>
      <c r="B69" s="44"/>
      <c r="C69" s="36"/>
      <c r="D69" s="311"/>
      <c r="E69" s="343"/>
      <c r="F69" s="37"/>
    </row>
    <row r="70" spans="1:6" ht="13.5" thickBot="1">
      <c r="A70" s="18"/>
      <c r="B70" s="44" t="s">
        <v>240</v>
      </c>
      <c r="C70" s="51">
        <v>432</v>
      </c>
      <c r="D70" s="309" t="s">
        <v>203</v>
      </c>
      <c r="E70" s="310"/>
      <c r="F70" s="49" t="s">
        <v>203</v>
      </c>
    </row>
    <row r="71" spans="1:6" ht="13.5" thickBot="1">
      <c r="A71" s="18"/>
      <c r="B71" s="44"/>
      <c r="C71" s="51"/>
      <c r="D71" s="311"/>
      <c r="E71" s="343"/>
      <c r="F71" s="49"/>
    </row>
    <row r="72" spans="1:6" ht="13.5" thickBot="1">
      <c r="A72" s="354" t="s">
        <v>241</v>
      </c>
      <c r="B72" s="355"/>
      <c r="C72" s="36">
        <v>470</v>
      </c>
      <c r="D72" s="313" t="s">
        <v>203</v>
      </c>
      <c r="E72" s="314"/>
      <c r="F72" s="49">
        <v>-252</v>
      </c>
    </row>
    <row r="73" spans="1:6" ht="13.5" thickBot="1">
      <c r="A73" s="45"/>
      <c r="B73" s="46" t="s">
        <v>242</v>
      </c>
      <c r="C73" s="39">
        <v>490</v>
      </c>
      <c r="D73" s="344" t="s">
        <v>203</v>
      </c>
      <c r="E73" s="345"/>
      <c r="F73" s="40">
        <v>-242</v>
      </c>
    </row>
    <row r="74" spans="1:6" ht="13.5" thickBot="1">
      <c r="A74" s="358" t="s">
        <v>243</v>
      </c>
      <c r="B74" s="359"/>
      <c r="C74" s="41"/>
      <c r="D74" s="360"/>
      <c r="E74" s="361"/>
      <c r="F74" s="17"/>
    </row>
    <row r="75" spans="1:6" ht="13.5" thickBot="1">
      <c r="A75" s="354" t="s">
        <v>244</v>
      </c>
      <c r="B75" s="355"/>
      <c r="C75" s="36">
        <v>510</v>
      </c>
      <c r="D75" s="313" t="s">
        <v>203</v>
      </c>
      <c r="E75" s="314"/>
      <c r="F75" s="37" t="s">
        <v>203</v>
      </c>
    </row>
    <row r="76" spans="1:6" ht="13.5" thickBot="1">
      <c r="A76" s="354" t="s">
        <v>245</v>
      </c>
      <c r="B76" s="355"/>
      <c r="C76" s="36">
        <v>515</v>
      </c>
      <c r="D76" s="313" t="s">
        <v>203</v>
      </c>
      <c r="E76" s="314"/>
      <c r="F76" s="37" t="s">
        <v>203</v>
      </c>
    </row>
    <row r="77" spans="1:6" ht="13.5" thickBot="1">
      <c r="A77" s="354" t="s">
        <v>246</v>
      </c>
      <c r="B77" s="355"/>
      <c r="C77" s="36">
        <v>520</v>
      </c>
      <c r="D77" s="313" t="s">
        <v>203</v>
      </c>
      <c r="E77" s="314"/>
      <c r="F77" s="49" t="s">
        <v>203</v>
      </c>
    </row>
    <row r="78" spans="1:6" ht="13.5" thickBot="1">
      <c r="A78" s="45"/>
      <c r="B78" s="46" t="s">
        <v>247</v>
      </c>
      <c r="C78" s="39">
        <v>590</v>
      </c>
      <c r="D78" s="344" t="s">
        <v>203</v>
      </c>
      <c r="E78" s="345"/>
      <c r="F78" s="52" t="s">
        <v>203</v>
      </c>
    </row>
    <row r="79" spans="1:6" ht="13.5" thickBot="1">
      <c r="A79" s="358" t="s">
        <v>248</v>
      </c>
      <c r="B79" s="359"/>
      <c r="C79" s="41"/>
      <c r="D79" s="360"/>
      <c r="E79" s="361"/>
      <c r="F79" s="17"/>
    </row>
    <row r="80" spans="1:6" ht="13.5" thickBot="1">
      <c r="A80" s="354" t="s">
        <v>244</v>
      </c>
      <c r="B80" s="355"/>
      <c r="C80" s="36">
        <v>610</v>
      </c>
      <c r="D80" s="313" t="s">
        <v>203</v>
      </c>
      <c r="E80" s="314"/>
      <c r="F80" s="37">
        <v>282</v>
      </c>
    </row>
    <row r="81" spans="1:6" ht="13.5" thickBot="1">
      <c r="A81" s="354" t="s">
        <v>249</v>
      </c>
      <c r="B81" s="355"/>
      <c r="C81" s="36">
        <v>620</v>
      </c>
      <c r="D81" s="313" t="s">
        <v>203</v>
      </c>
      <c r="E81" s="314"/>
      <c r="F81" s="37">
        <v>346</v>
      </c>
    </row>
    <row r="82" spans="1:6" ht="12.75">
      <c r="A82" s="18"/>
      <c r="B82" s="27" t="s">
        <v>213</v>
      </c>
      <c r="C82" s="42"/>
      <c r="D82" s="356"/>
      <c r="E82" s="357"/>
      <c r="F82" s="43"/>
    </row>
    <row r="83" spans="1:6" ht="13.5" thickBot="1">
      <c r="A83" s="18"/>
      <c r="B83" s="27" t="s">
        <v>250</v>
      </c>
      <c r="C83" s="36">
        <v>621</v>
      </c>
      <c r="D83" s="311" t="s">
        <v>203</v>
      </c>
      <c r="E83" s="343"/>
      <c r="F83" s="49">
        <v>51</v>
      </c>
    </row>
    <row r="84" spans="1:6" ht="13.5" thickBot="1">
      <c r="A84" s="18"/>
      <c r="B84" s="27" t="s">
        <v>251</v>
      </c>
      <c r="C84" s="36">
        <v>622</v>
      </c>
      <c r="D84" s="313" t="s">
        <v>203</v>
      </c>
      <c r="E84" s="314"/>
      <c r="F84" s="37">
        <v>78</v>
      </c>
    </row>
    <row r="85" spans="1:6" ht="13.5" thickBot="1">
      <c r="A85" s="18"/>
      <c r="B85" s="44" t="s">
        <v>252</v>
      </c>
      <c r="C85" s="51">
        <v>623</v>
      </c>
      <c r="D85" s="309" t="s">
        <v>203</v>
      </c>
      <c r="E85" s="310"/>
      <c r="F85" s="49">
        <v>13</v>
      </c>
    </row>
    <row r="86" spans="1:6" ht="13.5" thickBot="1">
      <c r="A86" s="18"/>
      <c r="B86" s="44"/>
      <c r="C86" s="51"/>
      <c r="D86" s="311"/>
      <c r="E86" s="343"/>
      <c r="F86" s="49">
        <v>13</v>
      </c>
    </row>
    <row r="87" spans="1:6" ht="13.5" thickBot="1">
      <c r="A87" s="18"/>
      <c r="B87" s="27" t="s">
        <v>253</v>
      </c>
      <c r="C87" s="36">
        <v>624</v>
      </c>
      <c r="D87" s="313" t="s">
        <v>203</v>
      </c>
      <c r="E87" s="314"/>
      <c r="F87" s="49">
        <v>15</v>
      </c>
    </row>
    <row r="88" spans="1:6" ht="13.5" thickBot="1">
      <c r="A88" s="18"/>
      <c r="B88" s="27" t="s">
        <v>254</v>
      </c>
      <c r="C88" s="36">
        <v>625</v>
      </c>
      <c r="D88" s="313" t="s">
        <v>203</v>
      </c>
      <c r="E88" s="314"/>
      <c r="F88" s="49">
        <v>189</v>
      </c>
    </row>
    <row r="89" spans="1:6" ht="13.5" thickBot="1">
      <c r="A89" s="354" t="s">
        <v>255</v>
      </c>
      <c r="B89" s="355"/>
      <c r="C89" s="36">
        <v>630</v>
      </c>
      <c r="D89" s="313" t="s">
        <v>203</v>
      </c>
      <c r="E89" s="314"/>
      <c r="F89" s="49" t="s">
        <v>203</v>
      </c>
    </row>
    <row r="90" spans="1:6" ht="13.5" thickBot="1">
      <c r="A90" s="354" t="s">
        <v>256</v>
      </c>
      <c r="B90" s="355"/>
      <c r="C90" s="36">
        <v>640</v>
      </c>
      <c r="D90" s="313" t="s">
        <v>203</v>
      </c>
      <c r="E90" s="314"/>
      <c r="F90" s="49" t="s">
        <v>203</v>
      </c>
    </row>
    <row r="91" spans="1:6" ht="13.5" thickBot="1">
      <c r="A91" s="354" t="s">
        <v>257</v>
      </c>
      <c r="B91" s="355"/>
      <c r="C91" s="36">
        <v>650</v>
      </c>
      <c r="D91" s="313" t="s">
        <v>203</v>
      </c>
      <c r="E91" s="314"/>
      <c r="F91" s="49" t="s">
        <v>203</v>
      </c>
    </row>
    <row r="92" spans="1:6" ht="13.5" thickBot="1">
      <c r="A92" s="354" t="s">
        <v>258</v>
      </c>
      <c r="B92" s="355"/>
      <c r="C92" s="36">
        <v>660</v>
      </c>
      <c r="D92" s="313" t="s">
        <v>203</v>
      </c>
      <c r="E92" s="314"/>
      <c r="F92" s="49" t="s">
        <v>203</v>
      </c>
    </row>
    <row r="93" spans="1:6" ht="13.5" thickBot="1">
      <c r="A93" s="45"/>
      <c r="B93" s="46" t="s">
        <v>259</v>
      </c>
      <c r="C93" s="39">
        <v>690</v>
      </c>
      <c r="D93" s="344" t="s">
        <v>203</v>
      </c>
      <c r="E93" s="345"/>
      <c r="F93" s="40">
        <v>628</v>
      </c>
    </row>
    <row r="94" spans="1:6" ht="13.5" thickBot="1">
      <c r="A94" s="16"/>
      <c r="B94" s="53" t="s">
        <v>229</v>
      </c>
      <c r="C94" s="39">
        <v>700</v>
      </c>
      <c r="D94" s="344" t="s">
        <v>203</v>
      </c>
      <c r="E94" s="345"/>
      <c r="F94" s="40">
        <v>386</v>
      </c>
    </row>
    <row r="95" spans="1:6" ht="13.5" thickBot="1">
      <c r="A95" s="24"/>
      <c r="B95" s="24"/>
      <c r="C95" s="24"/>
      <c r="D95" s="24"/>
      <c r="E95" s="24"/>
      <c r="F95" s="47"/>
    </row>
    <row r="96" spans="1:6" ht="58.5" customHeight="1">
      <c r="A96" s="346" t="s">
        <v>260</v>
      </c>
      <c r="B96" s="347"/>
      <c r="C96" s="54"/>
      <c r="D96" s="350"/>
      <c r="E96" s="351"/>
      <c r="F96" s="15"/>
    </row>
    <row r="97" spans="1:6" ht="13.5" thickBot="1">
      <c r="A97" s="348"/>
      <c r="B97" s="349"/>
      <c r="C97" s="55"/>
      <c r="D97" s="352"/>
      <c r="E97" s="353"/>
      <c r="F97" s="55"/>
    </row>
    <row r="98" spans="1:6" ht="24" customHeight="1" thickBot="1">
      <c r="A98" s="327" t="s">
        <v>261</v>
      </c>
      <c r="B98" s="312"/>
      <c r="C98" s="56">
        <v>910</v>
      </c>
      <c r="D98" s="313" t="s">
        <v>203</v>
      </c>
      <c r="E98" s="314"/>
      <c r="F98" s="57" t="s">
        <v>203</v>
      </c>
    </row>
    <row r="99" spans="1:6" ht="13.5" thickBot="1">
      <c r="A99" s="58"/>
      <c r="B99" s="59" t="s">
        <v>262</v>
      </c>
      <c r="C99" s="60">
        <v>911</v>
      </c>
      <c r="D99" s="313" t="s">
        <v>203</v>
      </c>
      <c r="E99" s="314"/>
      <c r="F99" s="49" t="s">
        <v>203</v>
      </c>
    </row>
    <row r="100" spans="1:6" ht="13.5" thickBot="1">
      <c r="A100" s="317" t="s">
        <v>263</v>
      </c>
      <c r="B100" s="318"/>
      <c r="C100" s="36">
        <v>920</v>
      </c>
      <c r="D100" s="309" t="s">
        <v>203</v>
      </c>
      <c r="E100" s="310"/>
      <c r="F100" s="37" t="s">
        <v>203</v>
      </c>
    </row>
    <row r="101" spans="1:6" ht="13.5" thickBot="1">
      <c r="A101" s="319"/>
      <c r="B101" s="308"/>
      <c r="C101" s="36"/>
      <c r="D101" s="311"/>
      <c r="E101" s="343"/>
      <c r="F101" s="37"/>
    </row>
    <row r="102" spans="1:6" ht="24" customHeight="1" thickBot="1">
      <c r="A102" s="327" t="s">
        <v>264</v>
      </c>
      <c r="B102" s="312"/>
      <c r="C102" s="36">
        <v>930</v>
      </c>
      <c r="D102" s="313" t="s">
        <v>203</v>
      </c>
      <c r="E102" s="314"/>
      <c r="F102" s="37" t="s">
        <v>203</v>
      </c>
    </row>
    <row r="103" spans="1:6" ht="13.5" thickBot="1">
      <c r="A103" s="327" t="s">
        <v>265</v>
      </c>
      <c r="B103" s="312"/>
      <c r="C103" s="36">
        <v>940</v>
      </c>
      <c r="D103" s="313" t="s">
        <v>203</v>
      </c>
      <c r="E103" s="314"/>
      <c r="F103" s="37" t="s">
        <v>203</v>
      </c>
    </row>
    <row r="104" spans="1:6" ht="13.5" thickBot="1">
      <c r="A104" s="327" t="s">
        <v>266</v>
      </c>
      <c r="B104" s="312"/>
      <c r="C104" s="36">
        <v>950</v>
      </c>
      <c r="D104" s="313" t="s">
        <v>203</v>
      </c>
      <c r="E104" s="314"/>
      <c r="F104" s="37" t="s">
        <v>203</v>
      </c>
    </row>
    <row r="105" spans="1:6" ht="13.5" thickBot="1">
      <c r="A105" s="327" t="s">
        <v>267</v>
      </c>
      <c r="B105" s="312"/>
      <c r="C105" s="36">
        <v>960</v>
      </c>
      <c r="D105" s="313" t="s">
        <v>203</v>
      </c>
      <c r="E105" s="314"/>
      <c r="F105" s="49" t="s">
        <v>203</v>
      </c>
    </row>
    <row r="106" spans="1:6" ht="13.5" thickBot="1">
      <c r="A106" s="327" t="s">
        <v>268</v>
      </c>
      <c r="B106" s="312"/>
      <c r="C106" s="36">
        <v>970</v>
      </c>
      <c r="D106" s="313" t="s">
        <v>203</v>
      </c>
      <c r="E106" s="314"/>
      <c r="F106" s="37" t="s">
        <v>203</v>
      </c>
    </row>
    <row r="107" spans="1:6" ht="13.5" thickBot="1">
      <c r="A107" s="317" t="s">
        <v>269</v>
      </c>
      <c r="B107" s="318"/>
      <c r="C107" s="51">
        <v>980</v>
      </c>
      <c r="D107" s="309" t="s">
        <v>203</v>
      </c>
      <c r="E107" s="310"/>
      <c r="F107" s="49" t="s">
        <v>203</v>
      </c>
    </row>
    <row r="108" spans="1:6" ht="13.5" thickBot="1">
      <c r="A108" s="319"/>
      <c r="B108" s="308"/>
      <c r="C108" s="51"/>
      <c r="D108" s="311"/>
      <c r="E108" s="343"/>
      <c r="F108" s="49"/>
    </row>
    <row r="109" spans="1:6" ht="13.5" thickBot="1">
      <c r="A109" s="327" t="s">
        <v>270</v>
      </c>
      <c r="B109" s="312"/>
      <c r="C109" s="36">
        <v>990</v>
      </c>
      <c r="D109" s="313" t="s">
        <v>203</v>
      </c>
      <c r="E109" s="314"/>
      <c r="F109" s="37" t="s">
        <v>203</v>
      </c>
    </row>
    <row r="110" spans="1:6" ht="13.5" thickBot="1">
      <c r="A110" s="315"/>
      <c r="B110" s="316"/>
      <c r="C110" s="61"/>
      <c r="D110" s="313" t="s">
        <v>203</v>
      </c>
      <c r="E110" s="314"/>
      <c r="F110" s="37" t="s">
        <v>203</v>
      </c>
    </row>
    <row r="111" spans="1:6" ht="12.75">
      <c r="A111" s="24"/>
      <c r="B111" s="24"/>
      <c r="C111" s="24"/>
      <c r="D111" s="24"/>
      <c r="E111" s="24"/>
      <c r="F111" s="24"/>
    </row>
    <row r="112" spans="1:6" ht="12.75">
      <c r="A112" s="24"/>
      <c r="B112" s="24"/>
      <c r="C112" s="24"/>
      <c r="D112" s="24"/>
      <c r="E112" s="24"/>
      <c r="F112" s="24"/>
    </row>
    <row r="113" spans="1:6" ht="12.75">
      <c r="A113" s="24"/>
      <c r="B113" s="24"/>
      <c r="C113" s="24"/>
      <c r="D113" s="24"/>
      <c r="E113" s="24"/>
      <c r="F113" s="24"/>
    </row>
    <row r="114" spans="1:6" ht="12.75">
      <c r="A114" s="24"/>
      <c r="B114" s="24"/>
      <c r="C114" s="24"/>
      <c r="D114" s="24"/>
      <c r="E114" s="324" t="s">
        <v>271</v>
      </c>
      <c r="F114" s="324"/>
    </row>
    <row r="115" spans="1:6" ht="12.75">
      <c r="A115" s="24"/>
      <c r="B115" s="24"/>
      <c r="C115" s="24"/>
      <c r="D115" s="24"/>
      <c r="E115" s="324"/>
      <c r="F115" s="324"/>
    </row>
    <row r="116" spans="1:6" ht="12.75">
      <c r="A116" s="24"/>
      <c r="B116" s="24"/>
      <c r="C116" s="24"/>
      <c r="D116" s="24"/>
      <c r="E116" s="325"/>
      <c r="F116" s="325"/>
    </row>
    <row r="117" spans="1:6" ht="12.75">
      <c r="A117" s="24"/>
      <c r="B117" s="24"/>
      <c r="C117" s="24"/>
      <c r="D117" s="24"/>
      <c r="E117" s="24"/>
      <c r="F117" s="24"/>
    </row>
    <row r="118" spans="1:6" ht="12.75">
      <c r="A118" s="24"/>
      <c r="B118" s="24"/>
      <c r="C118" s="24"/>
      <c r="D118" s="24"/>
      <c r="E118" s="24"/>
      <c r="F118" s="24"/>
    </row>
  </sheetData>
  <mergeCells count="153">
    <mergeCell ref="E8:F8"/>
    <mergeCell ref="B9:C9"/>
    <mergeCell ref="E9:F9"/>
    <mergeCell ref="A10:B10"/>
    <mergeCell ref="E10:F10"/>
    <mergeCell ref="A4:D4"/>
    <mergeCell ref="A5:D5"/>
    <mergeCell ref="E6:F6"/>
    <mergeCell ref="E7:F7"/>
    <mergeCell ref="B11:C11"/>
    <mergeCell ref="E11:F11"/>
    <mergeCell ref="A12:B12"/>
    <mergeCell ref="A14:B14"/>
    <mergeCell ref="E14:F14"/>
    <mergeCell ref="E12:E13"/>
    <mergeCell ref="A15:B15"/>
    <mergeCell ref="A16:F16"/>
    <mergeCell ref="A21:B22"/>
    <mergeCell ref="D21:E22"/>
    <mergeCell ref="F21:F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A30:B30"/>
    <mergeCell ref="D30:E30"/>
    <mergeCell ref="A31:B31"/>
    <mergeCell ref="D31:E31"/>
    <mergeCell ref="D32:E32"/>
    <mergeCell ref="A33:B33"/>
    <mergeCell ref="D33:E33"/>
    <mergeCell ref="A34:B34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43:B43"/>
    <mergeCell ref="D43:E43"/>
    <mergeCell ref="A44:B45"/>
    <mergeCell ref="D44:E45"/>
    <mergeCell ref="D46:E46"/>
    <mergeCell ref="D47:E47"/>
    <mergeCell ref="A48:B49"/>
    <mergeCell ref="D48:E49"/>
    <mergeCell ref="D50:E50"/>
    <mergeCell ref="D51:E51"/>
    <mergeCell ref="A52:B52"/>
    <mergeCell ref="D52:E52"/>
    <mergeCell ref="A53:B53"/>
    <mergeCell ref="D53:E53"/>
    <mergeCell ref="A54:B54"/>
    <mergeCell ref="D54:E54"/>
    <mergeCell ref="D55:E55"/>
    <mergeCell ref="A56:B56"/>
    <mergeCell ref="D56:E56"/>
    <mergeCell ref="A58:B59"/>
    <mergeCell ref="D58:E59"/>
    <mergeCell ref="F58:F59"/>
    <mergeCell ref="A60:B60"/>
    <mergeCell ref="D60:E60"/>
    <mergeCell ref="A61:B61"/>
    <mergeCell ref="D61:E61"/>
    <mergeCell ref="A62:B62"/>
    <mergeCell ref="D62:E62"/>
    <mergeCell ref="A63:B63"/>
    <mergeCell ref="D63:E63"/>
    <mergeCell ref="A64:B64"/>
    <mergeCell ref="D64:E64"/>
    <mergeCell ref="A65:B65"/>
    <mergeCell ref="D65:E65"/>
    <mergeCell ref="D66:E66"/>
    <mergeCell ref="A67:A68"/>
    <mergeCell ref="C67:C68"/>
    <mergeCell ref="D67:E69"/>
    <mergeCell ref="F67:F68"/>
    <mergeCell ref="D70:E71"/>
    <mergeCell ref="A72:B72"/>
    <mergeCell ref="D72:E72"/>
    <mergeCell ref="D73:E73"/>
    <mergeCell ref="A74:B74"/>
    <mergeCell ref="D74:E74"/>
    <mergeCell ref="A75:B75"/>
    <mergeCell ref="D75:E75"/>
    <mergeCell ref="A76:B76"/>
    <mergeCell ref="D76:E76"/>
    <mergeCell ref="A77:B77"/>
    <mergeCell ref="D77:E77"/>
    <mergeCell ref="D78:E78"/>
    <mergeCell ref="A79:B79"/>
    <mergeCell ref="D79:E79"/>
    <mergeCell ref="A80:B80"/>
    <mergeCell ref="D80:E80"/>
    <mergeCell ref="A81:B81"/>
    <mergeCell ref="D81:E81"/>
    <mergeCell ref="D82:E82"/>
    <mergeCell ref="D83:E83"/>
    <mergeCell ref="D84:E84"/>
    <mergeCell ref="D85:E86"/>
    <mergeCell ref="D87:E87"/>
    <mergeCell ref="D88:E88"/>
    <mergeCell ref="A89:B89"/>
    <mergeCell ref="D89:E89"/>
    <mergeCell ref="A90:B90"/>
    <mergeCell ref="D90:E90"/>
    <mergeCell ref="A91:B91"/>
    <mergeCell ref="D91:E91"/>
    <mergeCell ref="A92:B92"/>
    <mergeCell ref="D92:E92"/>
    <mergeCell ref="D93:E93"/>
    <mergeCell ref="D94:E94"/>
    <mergeCell ref="A96:B97"/>
    <mergeCell ref="D96:E96"/>
    <mergeCell ref="D97:E97"/>
    <mergeCell ref="A98:B98"/>
    <mergeCell ref="D98:E98"/>
    <mergeCell ref="D99:E99"/>
    <mergeCell ref="A100:B101"/>
    <mergeCell ref="D100:E101"/>
    <mergeCell ref="A102:B102"/>
    <mergeCell ref="D102:E102"/>
    <mergeCell ref="A103:B103"/>
    <mergeCell ref="D103:E103"/>
    <mergeCell ref="A107:B108"/>
    <mergeCell ref="D107:E108"/>
    <mergeCell ref="A104:B104"/>
    <mergeCell ref="D104:E104"/>
    <mergeCell ref="A105:B105"/>
    <mergeCell ref="D105:E105"/>
    <mergeCell ref="E114:F115"/>
    <mergeCell ref="E116:F116"/>
    <mergeCell ref="A1:F1"/>
    <mergeCell ref="A2:F2"/>
    <mergeCell ref="A109:B109"/>
    <mergeCell ref="D109:E109"/>
    <mergeCell ref="A110:B110"/>
    <mergeCell ref="D110:E110"/>
    <mergeCell ref="A106:B106"/>
    <mergeCell ref="D106:E106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workbookViewId="0" topLeftCell="A1">
      <selection activeCell="A1" sqref="A1:L1"/>
    </sheetView>
  </sheetViews>
  <sheetFormatPr defaultColWidth="9.00390625" defaultRowHeight="12.75"/>
  <cols>
    <col min="2" max="2" width="19.50390625" style="0" customWidth="1"/>
    <col min="3" max="12" width="11.375" style="0" customWidth="1"/>
  </cols>
  <sheetData>
    <row r="1" spans="1:12" ht="15">
      <c r="A1" s="326" t="s">
        <v>45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</row>
    <row r="2" ht="15.75" thickBot="1">
      <c r="A2" s="11"/>
    </row>
    <row r="3" spans="1:12" ht="24" customHeight="1" thickBot="1">
      <c r="A3" s="322" t="s">
        <v>21</v>
      </c>
      <c r="B3" s="322" t="s">
        <v>43</v>
      </c>
      <c r="C3" s="322" t="s">
        <v>46</v>
      </c>
      <c r="D3" s="407" t="s">
        <v>47</v>
      </c>
      <c r="E3" s="408"/>
      <c r="F3" s="408"/>
      <c r="G3" s="409"/>
      <c r="H3" s="322" t="s">
        <v>48</v>
      </c>
      <c r="I3" s="407" t="s">
        <v>49</v>
      </c>
      <c r="J3" s="408"/>
      <c r="K3" s="408"/>
      <c r="L3" s="409"/>
    </row>
    <row r="4" spans="1:12" ht="53.25" thickBot="1">
      <c r="A4" s="323"/>
      <c r="B4" s="323"/>
      <c r="C4" s="323"/>
      <c r="D4" s="7" t="s">
        <v>50</v>
      </c>
      <c r="E4" s="7" t="s">
        <v>51</v>
      </c>
      <c r="F4" s="7" t="s">
        <v>52</v>
      </c>
      <c r="G4" s="7" t="s">
        <v>53</v>
      </c>
      <c r="H4" s="323"/>
      <c r="I4" s="7" t="s">
        <v>50</v>
      </c>
      <c r="J4" s="7" t="s">
        <v>51</v>
      </c>
      <c r="K4" s="7" t="s">
        <v>52</v>
      </c>
      <c r="L4" s="7" t="s">
        <v>53</v>
      </c>
    </row>
    <row r="5" spans="1:12" ht="18" customHeight="1">
      <c r="A5" s="405">
        <v>1</v>
      </c>
      <c r="B5" s="405" t="s">
        <v>54</v>
      </c>
      <c r="C5" s="405">
        <f>D5+E5+F5+G5</f>
        <v>233962.41</v>
      </c>
      <c r="D5" s="405">
        <v>166588.17</v>
      </c>
      <c r="E5" s="405">
        <v>46000</v>
      </c>
      <c r="F5" s="405">
        <v>21374.24</v>
      </c>
      <c r="G5" s="405">
        <v>0</v>
      </c>
      <c r="H5" s="405">
        <f>I5+J5+K5+L5</f>
        <v>272830.38999999996</v>
      </c>
      <c r="I5" s="405">
        <v>160905.4</v>
      </c>
      <c r="J5" s="405">
        <v>81053.39</v>
      </c>
      <c r="K5" s="405">
        <v>30871.6</v>
      </c>
      <c r="L5" s="405"/>
    </row>
    <row r="6" spans="1:12" ht="13.5" thickBot="1">
      <c r="A6" s="406"/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</row>
  </sheetData>
  <mergeCells count="19">
    <mergeCell ref="H5:H6"/>
    <mergeCell ref="A3:A4"/>
    <mergeCell ref="B3:B4"/>
    <mergeCell ref="C3:C4"/>
    <mergeCell ref="D3:G3"/>
    <mergeCell ref="D5:D6"/>
    <mergeCell ref="E5:E6"/>
    <mergeCell ref="F5:F6"/>
    <mergeCell ref="G5:G6"/>
    <mergeCell ref="A1:L1"/>
    <mergeCell ref="I5:I6"/>
    <mergeCell ref="J5:J6"/>
    <mergeCell ref="K5:K6"/>
    <mergeCell ref="L5:L6"/>
    <mergeCell ref="H3:H4"/>
    <mergeCell ref="I3:L3"/>
    <mergeCell ref="A5:A6"/>
    <mergeCell ref="B5:B6"/>
    <mergeCell ref="C5:C6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2"/>
  <sheetViews>
    <sheetView workbookViewId="0" topLeftCell="A148">
      <selection activeCell="C11" sqref="C11"/>
    </sheetView>
  </sheetViews>
  <sheetFormatPr defaultColWidth="9.00390625" defaultRowHeight="12.75"/>
  <cols>
    <col min="1" max="1" width="7.625" style="0" customWidth="1"/>
    <col min="2" max="2" width="29.50390625" style="0" customWidth="1"/>
    <col min="3" max="3" width="22.50390625" style="0" customWidth="1"/>
    <col min="4" max="4" width="22.125" style="0" customWidth="1"/>
    <col min="5" max="5" width="11.00390625" style="0" customWidth="1"/>
  </cols>
  <sheetData>
    <row r="1" spans="1:5" ht="30.75" customHeight="1">
      <c r="A1" s="413" t="s">
        <v>55</v>
      </c>
      <c r="B1" s="413"/>
      <c r="C1" s="413"/>
      <c r="D1" s="413"/>
      <c r="E1" s="413"/>
    </row>
    <row r="2" ht="15">
      <c r="A2" s="2"/>
    </row>
    <row r="3" spans="1:5" ht="31.5" customHeight="1">
      <c r="A3" s="414" t="s">
        <v>56</v>
      </c>
      <c r="B3" s="414"/>
      <c r="C3" s="414"/>
      <c r="D3" s="414"/>
      <c r="E3" s="414"/>
    </row>
    <row r="4" ht="15.75" thickBot="1">
      <c r="A4" s="2"/>
    </row>
    <row r="5" spans="1:5" ht="15.75" thickBot="1">
      <c r="A5" s="410" t="s">
        <v>57</v>
      </c>
      <c r="B5" s="411"/>
      <c r="C5" s="411"/>
      <c r="D5" s="411"/>
      <c r="E5" s="412"/>
    </row>
    <row r="6" spans="1:5" ht="46.5">
      <c r="A6" s="322" t="s">
        <v>21</v>
      </c>
      <c r="B6" s="19" t="s">
        <v>58</v>
      </c>
      <c r="C6" s="322" t="s">
        <v>60</v>
      </c>
      <c r="D6" s="322" t="s">
        <v>61</v>
      </c>
      <c r="E6" s="322" t="s">
        <v>62</v>
      </c>
    </row>
    <row r="7" spans="1:5" ht="31.5" thickBot="1">
      <c r="A7" s="323"/>
      <c r="B7" s="9" t="s">
        <v>59</v>
      </c>
      <c r="C7" s="323"/>
      <c r="D7" s="323"/>
      <c r="E7" s="323"/>
    </row>
    <row r="8" spans="1:5" ht="15.75" thickBot="1">
      <c r="A8" s="13"/>
      <c r="B8" s="14" t="s">
        <v>63</v>
      </c>
      <c r="C8" s="14" t="s">
        <v>64</v>
      </c>
      <c r="D8" s="14" t="s">
        <v>65</v>
      </c>
      <c r="E8" s="20">
        <v>0.1</v>
      </c>
    </row>
    <row r="9" spans="1:5" ht="15.75" thickBot="1">
      <c r="A9" s="13"/>
      <c r="B9" s="14" t="s">
        <v>66</v>
      </c>
      <c r="C9" s="14" t="s">
        <v>67</v>
      </c>
      <c r="D9" s="14" t="s">
        <v>65</v>
      </c>
      <c r="E9" s="20">
        <v>0.05</v>
      </c>
    </row>
    <row r="10" spans="1:5" ht="15.75" thickBot="1">
      <c r="A10" s="13"/>
      <c r="B10" s="14" t="s">
        <v>68</v>
      </c>
      <c r="C10" s="14" t="s">
        <v>67</v>
      </c>
      <c r="D10" s="14" t="s">
        <v>65</v>
      </c>
      <c r="E10" s="20">
        <v>0.05</v>
      </c>
    </row>
    <row r="11" spans="1:5" ht="15.75" thickBot="1">
      <c r="A11" s="13"/>
      <c r="B11" s="14" t="s">
        <v>69</v>
      </c>
      <c r="C11" s="14" t="s">
        <v>70</v>
      </c>
      <c r="D11" s="14" t="s">
        <v>65</v>
      </c>
      <c r="E11" s="20">
        <v>0.05</v>
      </c>
    </row>
    <row r="12" spans="1:5" ht="15.75" thickBot="1">
      <c r="A12" s="13"/>
      <c r="B12" s="14" t="s">
        <v>71</v>
      </c>
      <c r="C12" s="14" t="s">
        <v>70</v>
      </c>
      <c r="D12" s="14" t="s">
        <v>65</v>
      </c>
      <c r="E12" s="20">
        <v>0.05</v>
      </c>
    </row>
    <row r="13" spans="1:5" ht="15.75" thickBot="1">
      <c r="A13" s="13"/>
      <c r="B13" s="14" t="s">
        <v>72</v>
      </c>
      <c r="C13" s="14" t="s">
        <v>73</v>
      </c>
      <c r="D13" s="14" t="s">
        <v>65</v>
      </c>
      <c r="E13" s="20">
        <v>0.1</v>
      </c>
    </row>
    <row r="14" spans="1:5" ht="31.5" thickBot="1">
      <c r="A14" s="13"/>
      <c r="B14" s="14" t="s">
        <v>74</v>
      </c>
      <c r="C14" s="14" t="s">
        <v>75</v>
      </c>
      <c r="D14" s="14" t="s">
        <v>65</v>
      </c>
      <c r="E14" s="20">
        <v>0.1</v>
      </c>
    </row>
    <row r="15" spans="1:5" ht="31.5" thickBot="1">
      <c r="A15" s="13"/>
      <c r="B15" s="14" t="s">
        <v>76</v>
      </c>
      <c r="C15" s="14" t="s">
        <v>77</v>
      </c>
      <c r="D15" s="14" t="s">
        <v>65</v>
      </c>
      <c r="E15" s="20">
        <v>0.05</v>
      </c>
    </row>
    <row r="16" spans="1:5" ht="31.5" thickBot="1">
      <c r="A16" s="13"/>
      <c r="B16" s="14" t="s">
        <v>78</v>
      </c>
      <c r="C16" s="14" t="s">
        <v>79</v>
      </c>
      <c r="D16" s="14" t="s">
        <v>65</v>
      </c>
      <c r="E16" s="20">
        <v>0.05</v>
      </c>
    </row>
    <row r="17" spans="1:5" ht="15.75" thickBot="1">
      <c r="A17" s="13"/>
      <c r="B17" s="14" t="s">
        <v>80</v>
      </c>
      <c r="C17" s="14" t="s">
        <v>81</v>
      </c>
      <c r="D17" s="14" t="s">
        <v>65</v>
      </c>
      <c r="E17" s="20">
        <v>0.1</v>
      </c>
    </row>
    <row r="18" spans="1:5" ht="31.5" thickBot="1">
      <c r="A18" s="13"/>
      <c r="B18" s="14" t="s">
        <v>82</v>
      </c>
      <c r="C18" s="14" t="s">
        <v>83</v>
      </c>
      <c r="D18" s="14" t="s">
        <v>65</v>
      </c>
      <c r="E18" s="20">
        <v>0.1</v>
      </c>
    </row>
    <row r="19" spans="1:5" ht="15.75" thickBot="1">
      <c r="A19" s="13"/>
      <c r="B19" s="14" t="s">
        <v>84</v>
      </c>
      <c r="C19" s="14" t="s">
        <v>70</v>
      </c>
      <c r="D19" s="14" t="s">
        <v>85</v>
      </c>
      <c r="E19" s="20">
        <v>0.15</v>
      </c>
    </row>
    <row r="20" spans="1:5" ht="15.75" thickBot="1">
      <c r="A20" s="13"/>
      <c r="B20" s="14" t="s">
        <v>86</v>
      </c>
      <c r="C20" s="14" t="s">
        <v>87</v>
      </c>
      <c r="D20" s="14" t="s">
        <v>65</v>
      </c>
      <c r="E20" s="20">
        <v>0.1</v>
      </c>
    </row>
    <row r="21" spans="1:5" ht="31.5" thickBot="1">
      <c r="A21" s="13"/>
      <c r="B21" s="14" t="s">
        <v>88</v>
      </c>
      <c r="C21" s="14" t="s">
        <v>89</v>
      </c>
      <c r="D21" s="14" t="s">
        <v>90</v>
      </c>
      <c r="E21" s="20">
        <v>0.15</v>
      </c>
    </row>
    <row r="22" spans="1:5" ht="15.75" thickBot="1">
      <c r="A22" s="13"/>
      <c r="B22" s="14" t="s">
        <v>91</v>
      </c>
      <c r="C22" s="14" t="s">
        <v>92</v>
      </c>
      <c r="D22" s="14" t="s">
        <v>65</v>
      </c>
      <c r="E22" s="20">
        <v>0.1</v>
      </c>
    </row>
    <row r="23" spans="1:5" ht="15.75" thickBot="1">
      <c r="A23" s="13"/>
      <c r="B23" s="14" t="s">
        <v>93</v>
      </c>
      <c r="C23" s="14" t="s">
        <v>94</v>
      </c>
      <c r="D23" s="14" t="s">
        <v>65</v>
      </c>
      <c r="E23" s="20">
        <v>0.1</v>
      </c>
    </row>
    <row r="24" spans="1:5" ht="15.75" thickBot="1">
      <c r="A24" s="13"/>
      <c r="B24" s="14" t="s">
        <v>95</v>
      </c>
      <c r="C24" s="14" t="s">
        <v>94</v>
      </c>
      <c r="D24" s="14" t="s">
        <v>65</v>
      </c>
      <c r="E24" s="20">
        <v>0.1</v>
      </c>
    </row>
    <row r="25" spans="1:5" ht="15.75" thickBot="1">
      <c r="A25" s="13"/>
      <c r="B25" s="14" t="s">
        <v>96</v>
      </c>
      <c r="C25" s="14" t="s">
        <v>97</v>
      </c>
      <c r="D25" s="14" t="s">
        <v>65</v>
      </c>
      <c r="E25" s="20">
        <v>0.1</v>
      </c>
    </row>
    <row r="26" spans="1:5" ht="15.75" thickBot="1">
      <c r="A26" s="13"/>
      <c r="B26" s="14" t="s">
        <v>98</v>
      </c>
      <c r="C26" s="14" t="s">
        <v>94</v>
      </c>
      <c r="D26" s="14" t="s">
        <v>65</v>
      </c>
      <c r="E26" s="20">
        <v>0.1</v>
      </c>
    </row>
    <row r="27" spans="1:5" ht="31.5" thickBot="1">
      <c r="A27" s="13"/>
      <c r="B27" s="14" t="s">
        <v>99</v>
      </c>
      <c r="C27" s="14" t="s">
        <v>100</v>
      </c>
      <c r="D27" s="14"/>
      <c r="E27" s="14"/>
    </row>
    <row r="28" spans="1:5" ht="31.5" thickBot="1">
      <c r="A28" s="13"/>
      <c r="B28" s="14" t="s">
        <v>101</v>
      </c>
      <c r="C28" s="14" t="s">
        <v>100</v>
      </c>
      <c r="D28" s="14"/>
      <c r="E28" s="14"/>
    </row>
    <row r="29" spans="1:5" ht="15.75" thickBot="1">
      <c r="A29" s="13"/>
      <c r="B29" s="14" t="s">
        <v>102</v>
      </c>
      <c r="C29" s="14" t="s">
        <v>100</v>
      </c>
      <c r="D29" s="14"/>
      <c r="E29" s="14"/>
    </row>
    <row r="30" spans="1:5" ht="15.75" thickBot="1">
      <c r="A30" s="13"/>
      <c r="B30" s="14" t="s">
        <v>103</v>
      </c>
      <c r="C30" s="14" t="s">
        <v>100</v>
      </c>
      <c r="D30" s="14"/>
      <c r="E30" s="14"/>
    </row>
    <row r="31" spans="1:5" ht="15.75" thickBot="1">
      <c r="A31" s="13"/>
      <c r="B31" s="14" t="s">
        <v>104</v>
      </c>
      <c r="C31" s="14" t="s">
        <v>105</v>
      </c>
      <c r="D31" s="14" t="s">
        <v>65</v>
      </c>
      <c r="E31" s="20">
        <v>0.05</v>
      </c>
    </row>
    <row r="32" spans="1:5" ht="15.75" thickBot="1">
      <c r="A32" s="13"/>
      <c r="B32" s="14" t="s">
        <v>106</v>
      </c>
      <c r="C32" s="14"/>
      <c r="D32" s="14"/>
      <c r="E32" s="14"/>
    </row>
    <row r="33" spans="1:5" ht="15.75" thickBot="1">
      <c r="A33" s="410" t="s">
        <v>107</v>
      </c>
      <c r="B33" s="411"/>
      <c r="C33" s="411"/>
      <c r="D33" s="411"/>
      <c r="E33" s="412"/>
    </row>
    <row r="34" spans="1:5" ht="46.5">
      <c r="A34" s="322" t="s">
        <v>21</v>
      </c>
      <c r="B34" s="19" t="s">
        <v>58</v>
      </c>
      <c r="C34" s="322" t="s">
        <v>60</v>
      </c>
      <c r="D34" s="322" t="s">
        <v>61</v>
      </c>
      <c r="E34" s="322" t="s">
        <v>62</v>
      </c>
    </row>
    <row r="35" spans="1:5" ht="31.5" thickBot="1">
      <c r="A35" s="323"/>
      <c r="B35" s="9" t="s">
        <v>59</v>
      </c>
      <c r="C35" s="323"/>
      <c r="D35" s="323"/>
      <c r="E35" s="323"/>
    </row>
    <row r="36" spans="1:5" ht="15.75" thickBot="1">
      <c r="A36" s="13"/>
      <c r="B36" s="14" t="s">
        <v>63</v>
      </c>
      <c r="C36" s="14" t="s">
        <v>64</v>
      </c>
      <c r="D36" s="14" t="s">
        <v>65</v>
      </c>
      <c r="E36" s="20">
        <v>0.1</v>
      </c>
    </row>
    <row r="37" spans="1:5" ht="15.75" thickBot="1">
      <c r="A37" s="13"/>
      <c r="B37" s="14" t="s">
        <v>66</v>
      </c>
      <c r="C37" s="14" t="s">
        <v>67</v>
      </c>
      <c r="D37" s="14" t="s">
        <v>65</v>
      </c>
      <c r="E37" s="20">
        <v>0.05</v>
      </c>
    </row>
    <row r="38" spans="1:5" ht="15.75" thickBot="1">
      <c r="A38" s="13"/>
      <c r="B38" s="14" t="s">
        <v>68</v>
      </c>
      <c r="C38" s="14" t="s">
        <v>67</v>
      </c>
      <c r="D38" s="14" t="s">
        <v>65</v>
      </c>
      <c r="E38" s="20">
        <v>0.05</v>
      </c>
    </row>
    <row r="39" spans="1:5" ht="15.75" thickBot="1">
      <c r="A39" s="13"/>
      <c r="B39" s="14" t="s">
        <v>69</v>
      </c>
      <c r="C39" s="14" t="s">
        <v>70</v>
      </c>
      <c r="D39" s="14" t="s">
        <v>65</v>
      </c>
      <c r="E39" s="20">
        <v>0.05</v>
      </c>
    </row>
    <row r="40" spans="1:5" ht="15.75" thickBot="1">
      <c r="A40" s="13"/>
      <c r="B40" s="14" t="s">
        <v>71</v>
      </c>
      <c r="C40" s="14" t="s">
        <v>70</v>
      </c>
      <c r="D40" s="14" t="s">
        <v>65</v>
      </c>
      <c r="E40" s="20">
        <v>0.05</v>
      </c>
    </row>
    <row r="41" spans="1:5" ht="15.75" thickBot="1">
      <c r="A41" s="13"/>
      <c r="B41" s="14" t="s">
        <v>72</v>
      </c>
      <c r="C41" s="14" t="s">
        <v>73</v>
      </c>
      <c r="D41" s="14" t="s">
        <v>65</v>
      </c>
      <c r="E41" s="20">
        <v>0.1</v>
      </c>
    </row>
    <row r="42" spans="1:5" ht="31.5" thickBot="1">
      <c r="A42" s="13"/>
      <c r="B42" s="14" t="s">
        <v>74</v>
      </c>
      <c r="C42" s="14" t="s">
        <v>75</v>
      </c>
      <c r="D42" s="14" t="s">
        <v>65</v>
      </c>
      <c r="E42" s="20">
        <v>0.1</v>
      </c>
    </row>
    <row r="43" spans="1:5" ht="31.5" thickBot="1">
      <c r="A43" s="13"/>
      <c r="B43" s="14" t="s">
        <v>76</v>
      </c>
      <c r="C43" s="14" t="s">
        <v>77</v>
      </c>
      <c r="D43" s="14" t="s">
        <v>65</v>
      </c>
      <c r="E43" s="20">
        <v>0.05</v>
      </c>
    </row>
    <row r="44" spans="1:5" ht="31.5" thickBot="1">
      <c r="A44" s="13"/>
      <c r="B44" s="14" t="s">
        <v>78</v>
      </c>
      <c r="C44" s="14" t="s">
        <v>79</v>
      </c>
      <c r="D44" s="14" t="s">
        <v>65</v>
      </c>
      <c r="E44" s="20">
        <v>0.05</v>
      </c>
    </row>
    <row r="45" spans="1:5" ht="15.75" thickBot="1">
      <c r="A45" s="13"/>
      <c r="B45" s="14" t="s">
        <v>80</v>
      </c>
      <c r="C45" s="14" t="s">
        <v>81</v>
      </c>
      <c r="D45" s="14" t="s">
        <v>65</v>
      </c>
      <c r="E45" s="20">
        <v>0.1</v>
      </c>
    </row>
    <row r="46" spans="1:5" ht="31.5" thickBot="1">
      <c r="A46" s="13"/>
      <c r="B46" s="14" t="s">
        <v>82</v>
      </c>
      <c r="C46" s="14" t="s">
        <v>83</v>
      </c>
      <c r="D46" s="14" t="s">
        <v>65</v>
      </c>
      <c r="E46" s="20">
        <v>0.1</v>
      </c>
    </row>
    <row r="47" spans="1:5" ht="15.75" thickBot="1">
      <c r="A47" s="13"/>
      <c r="B47" s="14" t="s">
        <v>84</v>
      </c>
      <c r="C47" s="14" t="s">
        <v>70</v>
      </c>
      <c r="D47" s="14" t="s">
        <v>85</v>
      </c>
      <c r="E47" s="20">
        <v>0.15</v>
      </c>
    </row>
    <row r="48" spans="1:5" ht="15.75" thickBot="1">
      <c r="A48" s="13"/>
      <c r="B48" s="14" t="s">
        <v>86</v>
      </c>
      <c r="C48" s="14" t="s">
        <v>87</v>
      </c>
      <c r="D48" s="14" t="s">
        <v>65</v>
      </c>
      <c r="E48" s="20">
        <v>0.1</v>
      </c>
    </row>
    <row r="49" spans="1:5" ht="31.5" thickBot="1">
      <c r="A49" s="13"/>
      <c r="B49" s="14" t="s">
        <v>88</v>
      </c>
      <c r="C49" s="14" t="s">
        <v>89</v>
      </c>
      <c r="D49" s="14" t="s">
        <v>90</v>
      </c>
      <c r="E49" s="20">
        <v>0.15</v>
      </c>
    </row>
    <row r="50" spans="1:5" ht="15.75" thickBot="1">
      <c r="A50" s="13"/>
      <c r="B50" s="14" t="s">
        <v>91</v>
      </c>
      <c r="C50" s="14" t="s">
        <v>92</v>
      </c>
      <c r="D50" s="14" t="s">
        <v>65</v>
      </c>
      <c r="E50" s="20">
        <v>0.1</v>
      </c>
    </row>
    <row r="51" spans="1:5" ht="15.75" thickBot="1">
      <c r="A51" s="13"/>
      <c r="B51" s="14" t="s">
        <v>93</v>
      </c>
      <c r="C51" s="14" t="s">
        <v>94</v>
      </c>
      <c r="D51" s="14" t="s">
        <v>65</v>
      </c>
      <c r="E51" s="20">
        <v>0.1</v>
      </c>
    </row>
    <row r="52" spans="1:5" ht="15.75" thickBot="1">
      <c r="A52" s="13"/>
      <c r="B52" s="14" t="s">
        <v>95</v>
      </c>
      <c r="C52" s="14" t="s">
        <v>94</v>
      </c>
      <c r="D52" s="14" t="s">
        <v>65</v>
      </c>
      <c r="E52" s="20">
        <v>0.1</v>
      </c>
    </row>
    <row r="53" spans="1:5" ht="15.75" thickBot="1">
      <c r="A53" s="13"/>
      <c r="B53" s="14" t="s">
        <v>96</v>
      </c>
      <c r="C53" s="14" t="s">
        <v>97</v>
      </c>
      <c r="D53" s="14" t="s">
        <v>65</v>
      </c>
      <c r="E53" s="20">
        <v>0.1</v>
      </c>
    </row>
    <row r="54" spans="1:5" ht="15.75" thickBot="1">
      <c r="A54" s="13"/>
      <c r="B54" s="14" t="s">
        <v>98</v>
      </c>
      <c r="C54" s="14" t="s">
        <v>94</v>
      </c>
      <c r="D54" s="14" t="s">
        <v>65</v>
      </c>
      <c r="E54" s="20">
        <v>0.1</v>
      </c>
    </row>
    <row r="55" spans="1:5" ht="31.5" thickBot="1">
      <c r="A55" s="13"/>
      <c r="B55" s="14" t="s">
        <v>99</v>
      </c>
      <c r="C55" s="14" t="s">
        <v>100</v>
      </c>
      <c r="D55" s="14"/>
      <c r="E55" s="14"/>
    </row>
    <row r="56" spans="1:5" ht="31.5" thickBot="1">
      <c r="A56" s="13"/>
      <c r="B56" s="14" t="s">
        <v>101</v>
      </c>
      <c r="C56" s="14" t="s">
        <v>100</v>
      </c>
      <c r="D56" s="14"/>
      <c r="E56" s="14"/>
    </row>
    <row r="57" spans="1:5" ht="15.75" thickBot="1">
      <c r="A57" s="13"/>
      <c r="B57" s="14" t="s">
        <v>102</v>
      </c>
      <c r="C57" s="14" t="s">
        <v>100</v>
      </c>
      <c r="D57" s="14"/>
      <c r="E57" s="14"/>
    </row>
    <row r="58" spans="1:5" ht="15.75" thickBot="1">
      <c r="A58" s="13"/>
      <c r="B58" s="14" t="s">
        <v>103</v>
      </c>
      <c r="C58" s="14" t="s">
        <v>100</v>
      </c>
      <c r="D58" s="14"/>
      <c r="E58" s="14"/>
    </row>
    <row r="59" spans="1:5" ht="15.75" thickBot="1">
      <c r="A59" s="13"/>
      <c r="B59" s="14" t="s">
        <v>104</v>
      </c>
      <c r="C59" s="14" t="s">
        <v>105</v>
      </c>
      <c r="D59" s="14" t="s">
        <v>65</v>
      </c>
      <c r="E59" s="20">
        <v>0.05</v>
      </c>
    </row>
    <row r="60" spans="1:5" ht="15.75" thickBot="1">
      <c r="A60" s="13"/>
      <c r="B60" s="14" t="s">
        <v>106</v>
      </c>
      <c r="C60" s="14"/>
      <c r="D60" s="14"/>
      <c r="E60" s="14"/>
    </row>
    <row r="61" spans="1:5" ht="15.75" thickBot="1">
      <c r="A61" s="410" t="s">
        <v>108</v>
      </c>
      <c r="B61" s="411"/>
      <c r="C61" s="411"/>
      <c r="D61" s="411"/>
      <c r="E61" s="412"/>
    </row>
    <row r="62" spans="1:5" ht="46.5">
      <c r="A62" s="322" t="s">
        <v>21</v>
      </c>
      <c r="B62" s="19" t="s">
        <v>58</v>
      </c>
      <c r="C62" s="322" t="s">
        <v>60</v>
      </c>
      <c r="D62" s="322" t="s">
        <v>61</v>
      </c>
      <c r="E62" s="322" t="s">
        <v>62</v>
      </c>
    </row>
    <row r="63" spans="1:5" ht="31.5" thickBot="1">
      <c r="A63" s="323"/>
      <c r="B63" s="9" t="s">
        <v>59</v>
      </c>
      <c r="C63" s="323"/>
      <c r="D63" s="323"/>
      <c r="E63" s="323"/>
    </row>
    <row r="64" spans="1:5" ht="15.75" thickBot="1">
      <c r="A64" s="13"/>
      <c r="B64" s="14" t="s">
        <v>63</v>
      </c>
      <c r="C64" s="14" t="s">
        <v>64</v>
      </c>
      <c r="D64" s="14" t="s">
        <v>65</v>
      </c>
      <c r="E64" s="20">
        <v>0.1</v>
      </c>
    </row>
    <row r="65" spans="1:5" ht="15.75" thickBot="1">
      <c r="A65" s="13"/>
      <c r="B65" s="14" t="s">
        <v>66</v>
      </c>
      <c r="C65" s="14" t="s">
        <v>67</v>
      </c>
      <c r="D65" s="14" t="s">
        <v>65</v>
      </c>
      <c r="E65" s="20">
        <v>0.05</v>
      </c>
    </row>
    <row r="66" spans="1:5" ht="15.75" thickBot="1">
      <c r="A66" s="13"/>
      <c r="B66" s="14" t="s">
        <v>68</v>
      </c>
      <c r="C66" s="14" t="s">
        <v>67</v>
      </c>
      <c r="D66" s="14" t="s">
        <v>65</v>
      </c>
      <c r="E66" s="20">
        <v>0.05</v>
      </c>
    </row>
    <row r="67" spans="1:5" ht="15.75" thickBot="1">
      <c r="A67" s="13"/>
      <c r="B67" s="14" t="s">
        <v>69</v>
      </c>
      <c r="C67" s="14" t="s">
        <v>70</v>
      </c>
      <c r="D67" s="14" t="s">
        <v>65</v>
      </c>
      <c r="E67" s="20">
        <v>0.05</v>
      </c>
    </row>
    <row r="68" spans="1:5" ht="15.75" thickBot="1">
      <c r="A68" s="13"/>
      <c r="B68" s="14" t="s">
        <v>71</v>
      </c>
      <c r="C68" s="14" t="s">
        <v>70</v>
      </c>
      <c r="D68" s="14" t="s">
        <v>65</v>
      </c>
      <c r="E68" s="20">
        <v>0.05</v>
      </c>
    </row>
    <row r="69" spans="1:5" ht="15.75" thickBot="1">
      <c r="A69" s="13"/>
      <c r="B69" s="14" t="s">
        <v>72</v>
      </c>
      <c r="C69" s="14" t="s">
        <v>73</v>
      </c>
      <c r="D69" s="14" t="s">
        <v>65</v>
      </c>
      <c r="E69" s="20">
        <v>0.1</v>
      </c>
    </row>
    <row r="70" spans="1:5" ht="31.5" thickBot="1">
      <c r="A70" s="13"/>
      <c r="B70" s="14" t="s">
        <v>74</v>
      </c>
      <c r="C70" s="14" t="s">
        <v>75</v>
      </c>
      <c r="D70" s="14" t="s">
        <v>65</v>
      </c>
      <c r="E70" s="20">
        <v>0.1</v>
      </c>
    </row>
    <row r="71" spans="1:5" ht="31.5" thickBot="1">
      <c r="A71" s="13"/>
      <c r="B71" s="14" t="s">
        <v>76</v>
      </c>
      <c r="C71" s="14" t="s">
        <v>77</v>
      </c>
      <c r="D71" s="14" t="s">
        <v>65</v>
      </c>
      <c r="E71" s="20">
        <v>0.05</v>
      </c>
    </row>
    <row r="72" spans="1:5" ht="31.5" thickBot="1">
      <c r="A72" s="13"/>
      <c r="B72" s="14" t="s">
        <v>78</v>
      </c>
      <c r="C72" s="14" t="s">
        <v>79</v>
      </c>
      <c r="D72" s="14" t="s">
        <v>65</v>
      </c>
      <c r="E72" s="20">
        <v>0.05</v>
      </c>
    </row>
    <row r="73" spans="1:5" ht="15.75" thickBot="1">
      <c r="A73" s="13"/>
      <c r="B73" s="14" t="s">
        <v>80</v>
      </c>
      <c r="C73" s="14" t="s">
        <v>81</v>
      </c>
      <c r="D73" s="14" t="s">
        <v>65</v>
      </c>
      <c r="E73" s="20">
        <v>0.1</v>
      </c>
    </row>
    <row r="74" spans="1:5" ht="31.5" thickBot="1">
      <c r="A74" s="13"/>
      <c r="B74" s="14" t="s">
        <v>82</v>
      </c>
      <c r="C74" s="14" t="s">
        <v>83</v>
      </c>
      <c r="D74" s="14" t="s">
        <v>65</v>
      </c>
      <c r="E74" s="20">
        <v>0.1</v>
      </c>
    </row>
    <row r="75" spans="1:5" ht="15.75" thickBot="1">
      <c r="A75" s="13"/>
      <c r="B75" s="14" t="s">
        <v>84</v>
      </c>
      <c r="C75" s="14" t="s">
        <v>70</v>
      </c>
      <c r="D75" s="14" t="s">
        <v>85</v>
      </c>
      <c r="E75" s="20">
        <v>0.15</v>
      </c>
    </row>
    <row r="76" spans="1:5" ht="15.75" thickBot="1">
      <c r="A76" s="13"/>
      <c r="B76" s="14" t="s">
        <v>86</v>
      </c>
      <c r="C76" s="14" t="s">
        <v>87</v>
      </c>
      <c r="D76" s="14" t="s">
        <v>65</v>
      </c>
      <c r="E76" s="20">
        <v>0.1</v>
      </c>
    </row>
    <row r="77" spans="1:5" ht="31.5" thickBot="1">
      <c r="A77" s="13"/>
      <c r="B77" s="14" t="s">
        <v>88</v>
      </c>
      <c r="C77" s="14" t="s">
        <v>89</v>
      </c>
      <c r="D77" s="14" t="s">
        <v>90</v>
      </c>
      <c r="E77" s="20">
        <v>0.15</v>
      </c>
    </row>
    <row r="78" spans="1:5" ht="15.75" thickBot="1">
      <c r="A78" s="13"/>
      <c r="B78" s="14" t="s">
        <v>91</v>
      </c>
      <c r="C78" s="14" t="s">
        <v>92</v>
      </c>
      <c r="D78" s="14" t="s">
        <v>65</v>
      </c>
      <c r="E78" s="20">
        <v>0.1</v>
      </c>
    </row>
    <row r="79" spans="1:5" ht="15.75" thickBot="1">
      <c r="A79" s="13"/>
      <c r="B79" s="14" t="s">
        <v>93</v>
      </c>
      <c r="C79" s="14" t="s">
        <v>94</v>
      </c>
      <c r="D79" s="14" t="s">
        <v>65</v>
      </c>
      <c r="E79" s="20">
        <v>0.1</v>
      </c>
    </row>
    <row r="80" spans="1:5" ht="15.75" thickBot="1">
      <c r="A80" s="13"/>
      <c r="B80" s="14" t="s">
        <v>95</v>
      </c>
      <c r="C80" s="14" t="s">
        <v>94</v>
      </c>
      <c r="D80" s="14" t="s">
        <v>65</v>
      </c>
      <c r="E80" s="20">
        <v>0.1</v>
      </c>
    </row>
    <row r="81" spans="1:5" ht="15.75" thickBot="1">
      <c r="A81" s="13"/>
      <c r="B81" s="14" t="s">
        <v>96</v>
      </c>
      <c r="C81" s="14" t="s">
        <v>97</v>
      </c>
      <c r="D81" s="14" t="s">
        <v>65</v>
      </c>
      <c r="E81" s="20">
        <v>0.1</v>
      </c>
    </row>
    <row r="82" spans="1:5" ht="15.75" thickBot="1">
      <c r="A82" s="13"/>
      <c r="B82" s="14" t="s">
        <v>98</v>
      </c>
      <c r="C82" s="14" t="s">
        <v>94</v>
      </c>
      <c r="D82" s="14" t="s">
        <v>65</v>
      </c>
      <c r="E82" s="20">
        <v>0.1</v>
      </c>
    </row>
    <row r="83" spans="1:5" ht="31.5" thickBot="1">
      <c r="A83" s="13"/>
      <c r="B83" s="14" t="s">
        <v>99</v>
      </c>
      <c r="C83" s="14" t="s">
        <v>100</v>
      </c>
      <c r="D83" s="14"/>
      <c r="E83" s="14"/>
    </row>
    <row r="84" spans="1:5" ht="31.5" thickBot="1">
      <c r="A84" s="13"/>
      <c r="B84" s="14" t="s">
        <v>101</v>
      </c>
      <c r="C84" s="14" t="s">
        <v>100</v>
      </c>
      <c r="D84" s="14"/>
      <c r="E84" s="14"/>
    </row>
    <row r="85" spans="1:5" ht="15.75" thickBot="1">
      <c r="A85" s="13"/>
      <c r="B85" s="14" t="s">
        <v>102</v>
      </c>
      <c r="C85" s="14" t="s">
        <v>100</v>
      </c>
      <c r="D85" s="14"/>
      <c r="E85" s="14"/>
    </row>
    <row r="86" spans="1:5" ht="15.75" thickBot="1">
      <c r="A86" s="13"/>
      <c r="B86" s="14" t="s">
        <v>103</v>
      </c>
      <c r="C86" s="14" t="s">
        <v>100</v>
      </c>
      <c r="D86" s="14"/>
      <c r="E86" s="14"/>
    </row>
    <row r="87" spans="1:5" ht="15.75" thickBot="1">
      <c r="A87" s="13"/>
      <c r="B87" s="14" t="s">
        <v>104</v>
      </c>
      <c r="C87" s="14" t="s">
        <v>105</v>
      </c>
      <c r="D87" s="14" t="s">
        <v>65</v>
      </c>
      <c r="E87" s="20">
        <v>0.05</v>
      </c>
    </row>
    <row r="88" spans="1:5" ht="15.75" thickBot="1">
      <c r="A88" s="13"/>
      <c r="B88" s="14" t="s">
        <v>106</v>
      </c>
      <c r="C88" s="14"/>
      <c r="D88" s="14"/>
      <c r="E88" s="14"/>
    </row>
    <row r="89" spans="1:5" ht="15.75" thickBot="1">
      <c r="A89" s="410" t="s">
        <v>109</v>
      </c>
      <c r="B89" s="411"/>
      <c r="C89" s="411"/>
      <c r="D89" s="411"/>
      <c r="E89" s="412"/>
    </row>
    <row r="90" spans="1:5" ht="46.5">
      <c r="A90" s="322" t="s">
        <v>21</v>
      </c>
      <c r="B90" s="19" t="s">
        <v>58</v>
      </c>
      <c r="C90" s="322" t="s">
        <v>60</v>
      </c>
      <c r="D90" s="322" t="s">
        <v>61</v>
      </c>
      <c r="E90" s="322" t="s">
        <v>62</v>
      </c>
    </row>
    <row r="91" spans="1:5" ht="31.5" thickBot="1">
      <c r="A91" s="323"/>
      <c r="B91" s="9" t="s">
        <v>59</v>
      </c>
      <c r="C91" s="323"/>
      <c r="D91" s="323"/>
      <c r="E91" s="323"/>
    </row>
    <row r="92" spans="1:5" ht="15.75" thickBot="1">
      <c r="A92" s="13"/>
      <c r="B92" s="14" t="s">
        <v>63</v>
      </c>
      <c r="C92" s="14" t="s">
        <v>64</v>
      </c>
      <c r="D92" s="14" t="s">
        <v>65</v>
      </c>
      <c r="E92" s="20">
        <v>0.1</v>
      </c>
    </row>
    <row r="93" spans="1:5" ht="15.75" thickBot="1">
      <c r="A93" s="13"/>
      <c r="B93" s="14" t="s">
        <v>66</v>
      </c>
      <c r="C93" s="14" t="s">
        <v>67</v>
      </c>
      <c r="D93" s="14" t="s">
        <v>65</v>
      </c>
      <c r="E93" s="20">
        <v>0.05</v>
      </c>
    </row>
    <row r="94" spans="1:5" ht="15.75" thickBot="1">
      <c r="A94" s="13"/>
      <c r="B94" s="14" t="s">
        <v>68</v>
      </c>
      <c r="C94" s="14" t="s">
        <v>67</v>
      </c>
      <c r="D94" s="14" t="s">
        <v>65</v>
      </c>
      <c r="E94" s="20">
        <v>0.05</v>
      </c>
    </row>
    <row r="95" spans="1:5" ht="15.75" thickBot="1">
      <c r="A95" s="13"/>
      <c r="B95" s="14" t="s">
        <v>69</v>
      </c>
      <c r="C95" s="14" t="s">
        <v>70</v>
      </c>
      <c r="D95" s="14" t="s">
        <v>65</v>
      </c>
      <c r="E95" s="20">
        <v>0.05</v>
      </c>
    </row>
    <row r="96" spans="1:5" ht="15.75" thickBot="1">
      <c r="A96" s="13"/>
      <c r="B96" s="14" t="s">
        <v>71</v>
      </c>
      <c r="C96" s="14" t="s">
        <v>70</v>
      </c>
      <c r="D96" s="14" t="s">
        <v>65</v>
      </c>
      <c r="E96" s="20">
        <v>0.05</v>
      </c>
    </row>
    <row r="97" spans="1:5" ht="15.75" thickBot="1">
      <c r="A97" s="13"/>
      <c r="B97" s="14" t="s">
        <v>72</v>
      </c>
      <c r="C97" s="14" t="s">
        <v>73</v>
      </c>
      <c r="D97" s="14" t="s">
        <v>65</v>
      </c>
      <c r="E97" s="20">
        <v>0.1</v>
      </c>
    </row>
    <row r="98" spans="1:5" ht="31.5" thickBot="1">
      <c r="A98" s="13"/>
      <c r="B98" s="14" t="s">
        <v>74</v>
      </c>
      <c r="C98" s="14" t="s">
        <v>75</v>
      </c>
      <c r="D98" s="14" t="s">
        <v>65</v>
      </c>
      <c r="E98" s="20">
        <v>0.1</v>
      </c>
    </row>
    <row r="99" spans="1:5" ht="31.5" thickBot="1">
      <c r="A99" s="13"/>
      <c r="B99" s="14" t="s">
        <v>76</v>
      </c>
      <c r="C99" s="14" t="s">
        <v>77</v>
      </c>
      <c r="D99" s="14" t="s">
        <v>65</v>
      </c>
      <c r="E99" s="20">
        <v>0.05</v>
      </c>
    </row>
    <row r="100" spans="1:5" ht="31.5" thickBot="1">
      <c r="A100" s="13"/>
      <c r="B100" s="14" t="s">
        <v>78</v>
      </c>
      <c r="C100" s="14" t="s">
        <v>79</v>
      </c>
      <c r="D100" s="14" t="s">
        <v>65</v>
      </c>
      <c r="E100" s="20">
        <v>0.05</v>
      </c>
    </row>
    <row r="101" spans="1:5" ht="15.75" thickBot="1">
      <c r="A101" s="13"/>
      <c r="B101" s="14" t="s">
        <v>80</v>
      </c>
      <c r="C101" s="14" t="s">
        <v>81</v>
      </c>
      <c r="D101" s="14" t="s">
        <v>65</v>
      </c>
      <c r="E101" s="20">
        <v>0.1</v>
      </c>
    </row>
    <row r="102" spans="1:5" ht="31.5" thickBot="1">
      <c r="A102" s="13"/>
      <c r="B102" s="14" t="s">
        <v>82</v>
      </c>
      <c r="C102" s="14" t="s">
        <v>83</v>
      </c>
      <c r="D102" s="14" t="s">
        <v>65</v>
      </c>
      <c r="E102" s="20">
        <v>0.1</v>
      </c>
    </row>
    <row r="103" spans="1:5" ht="15.75" thickBot="1">
      <c r="A103" s="13"/>
      <c r="B103" s="14" t="s">
        <v>84</v>
      </c>
      <c r="C103" s="14" t="s">
        <v>70</v>
      </c>
      <c r="D103" s="14" t="s">
        <v>85</v>
      </c>
      <c r="E103" s="20">
        <v>0.15</v>
      </c>
    </row>
    <row r="104" spans="1:5" ht="15.75" thickBot="1">
      <c r="A104" s="13"/>
      <c r="B104" s="14" t="s">
        <v>86</v>
      </c>
      <c r="C104" s="14" t="s">
        <v>87</v>
      </c>
      <c r="D104" s="14" t="s">
        <v>65</v>
      </c>
      <c r="E104" s="20">
        <v>0.1</v>
      </c>
    </row>
    <row r="105" spans="1:5" ht="31.5" thickBot="1">
      <c r="A105" s="13"/>
      <c r="B105" s="14" t="s">
        <v>88</v>
      </c>
      <c r="C105" s="14" t="s">
        <v>89</v>
      </c>
      <c r="D105" s="14" t="s">
        <v>90</v>
      </c>
      <c r="E105" s="20">
        <v>0.15</v>
      </c>
    </row>
    <row r="106" spans="1:5" ht="15.75" thickBot="1">
      <c r="A106" s="13"/>
      <c r="B106" s="14" t="s">
        <v>91</v>
      </c>
      <c r="C106" s="14" t="s">
        <v>92</v>
      </c>
      <c r="D106" s="14" t="s">
        <v>65</v>
      </c>
      <c r="E106" s="20">
        <v>0.1</v>
      </c>
    </row>
    <row r="107" spans="1:5" ht="15.75" thickBot="1">
      <c r="A107" s="13"/>
      <c r="B107" s="14" t="s">
        <v>93</v>
      </c>
      <c r="C107" s="14" t="s">
        <v>94</v>
      </c>
      <c r="D107" s="14" t="s">
        <v>65</v>
      </c>
      <c r="E107" s="20">
        <v>0.1</v>
      </c>
    </row>
    <row r="108" spans="1:5" ht="15.75" thickBot="1">
      <c r="A108" s="13"/>
      <c r="B108" s="14" t="s">
        <v>95</v>
      </c>
      <c r="C108" s="14" t="s">
        <v>94</v>
      </c>
      <c r="D108" s="14" t="s">
        <v>65</v>
      </c>
      <c r="E108" s="20">
        <v>0.1</v>
      </c>
    </row>
    <row r="109" spans="1:5" ht="15.75" thickBot="1">
      <c r="A109" s="13"/>
      <c r="B109" s="14" t="s">
        <v>96</v>
      </c>
      <c r="C109" s="14" t="s">
        <v>97</v>
      </c>
      <c r="D109" s="14" t="s">
        <v>65</v>
      </c>
      <c r="E109" s="20">
        <v>0.1</v>
      </c>
    </row>
    <row r="110" spans="1:5" ht="15.75" thickBot="1">
      <c r="A110" s="13"/>
      <c r="B110" s="14" t="s">
        <v>98</v>
      </c>
      <c r="C110" s="14" t="s">
        <v>94</v>
      </c>
      <c r="D110" s="14" t="s">
        <v>65</v>
      </c>
      <c r="E110" s="20">
        <v>0.1</v>
      </c>
    </row>
    <row r="111" spans="1:5" ht="31.5" thickBot="1">
      <c r="A111" s="13"/>
      <c r="B111" s="14" t="s">
        <v>99</v>
      </c>
      <c r="C111" s="14" t="s">
        <v>100</v>
      </c>
      <c r="D111" s="14"/>
      <c r="E111" s="14"/>
    </row>
    <row r="112" spans="1:5" ht="31.5" thickBot="1">
      <c r="A112" s="13"/>
      <c r="B112" s="14" t="s">
        <v>101</v>
      </c>
      <c r="C112" s="14" t="s">
        <v>100</v>
      </c>
      <c r="D112" s="14"/>
      <c r="E112" s="14"/>
    </row>
    <row r="113" spans="1:5" ht="15.75" thickBot="1">
      <c r="A113" s="13"/>
      <c r="B113" s="14" t="s">
        <v>102</v>
      </c>
      <c r="C113" s="14" t="s">
        <v>100</v>
      </c>
      <c r="D113" s="14"/>
      <c r="E113" s="14"/>
    </row>
    <row r="114" spans="1:5" ht="15.75" thickBot="1">
      <c r="A114" s="13"/>
      <c r="B114" s="14" t="s">
        <v>103</v>
      </c>
      <c r="C114" s="14" t="s">
        <v>100</v>
      </c>
      <c r="D114" s="14"/>
      <c r="E114" s="14"/>
    </row>
    <row r="115" spans="1:5" ht="15.75" thickBot="1">
      <c r="A115" s="13"/>
      <c r="B115" s="14" t="s">
        <v>104</v>
      </c>
      <c r="C115" s="14" t="s">
        <v>105</v>
      </c>
      <c r="D115" s="14" t="s">
        <v>65</v>
      </c>
      <c r="E115" s="20">
        <v>0.05</v>
      </c>
    </row>
    <row r="116" spans="1:5" ht="15.75" thickBot="1">
      <c r="A116" s="13"/>
      <c r="B116" s="14" t="s">
        <v>106</v>
      </c>
      <c r="C116" s="14"/>
      <c r="D116" s="14"/>
      <c r="E116" s="14"/>
    </row>
    <row r="117" spans="1:5" ht="15.75" thickBot="1">
      <c r="A117" s="410" t="s">
        <v>110</v>
      </c>
      <c r="B117" s="411"/>
      <c r="C117" s="411"/>
      <c r="D117" s="411"/>
      <c r="E117" s="412"/>
    </row>
    <row r="118" spans="1:5" ht="46.5">
      <c r="A118" s="322" t="s">
        <v>21</v>
      </c>
      <c r="B118" s="19" t="s">
        <v>58</v>
      </c>
      <c r="C118" s="322" t="s">
        <v>60</v>
      </c>
      <c r="D118" s="322" t="s">
        <v>61</v>
      </c>
      <c r="E118" s="322" t="s">
        <v>62</v>
      </c>
    </row>
    <row r="119" spans="1:5" ht="31.5" thickBot="1">
      <c r="A119" s="323"/>
      <c r="B119" s="9" t="s">
        <v>59</v>
      </c>
      <c r="C119" s="323"/>
      <c r="D119" s="323"/>
      <c r="E119" s="323"/>
    </row>
    <row r="120" spans="1:5" ht="15.75" thickBot="1">
      <c r="A120" s="13"/>
      <c r="B120" s="14" t="s">
        <v>63</v>
      </c>
      <c r="C120" s="14" t="s">
        <v>303</v>
      </c>
      <c r="D120" s="14" t="s">
        <v>313</v>
      </c>
      <c r="E120" s="20"/>
    </row>
    <row r="121" spans="1:5" ht="15.75" thickBot="1">
      <c r="A121" s="13"/>
      <c r="B121" s="14" t="s">
        <v>66</v>
      </c>
      <c r="C121" s="14" t="s">
        <v>67</v>
      </c>
      <c r="D121" s="14" t="s">
        <v>313</v>
      </c>
      <c r="E121" s="20"/>
    </row>
    <row r="122" spans="1:5" ht="15.75" thickBot="1">
      <c r="A122" s="13"/>
      <c r="B122" s="14" t="s">
        <v>68</v>
      </c>
      <c r="C122" s="14" t="s">
        <v>67</v>
      </c>
      <c r="D122" s="14" t="s">
        <v>313</v>
      </c>
      <c r="E122" s="20"/>
    </row>
    <row r="123" spans="1:5" ht="15.75" thickBot="1">
      <c r="A123" s="13"/>
      <c r="B123" s="14" t="s">
        <v>69</v>
      </c>
      <c r="C123" s="14" t="s">
        <v>64</v>
      </c>
      <c r="D123" s="14" t="s">
        <v>313</v>
      </c>
      <c r="E123" s="20"/>
    </row>
    <row r="124" spans="1:5" ht="15.75" thickBot="1">
      <c r="A124" s="13"/>
      <c r="B124" s="14" t="s">
        <v>71</v>
      </c>
      <c r="C124" s="14" t="s">
        <v>64</v>
      </c>
      <c r="D124" s="14" t="s">
        <v>313</v>
      </c>
      <c r="E124" s="20"/>
    </row>
    <row r="125" spans="1:5" ht="31.5" thickBot="1">
      <c r="A125" s="13"/>
      <c r="B125" s="14" t="s">
        <v>72</v>
      </c>
      <c r="C125" s="14" t="s">
        <v>304</v>
      </c>
      <c r="D125" s="14" t="s">
        <v>314</v>
      </c>
      <c r="E125" s="20"/>
    </row>
    <row r="126" spans="1:5" ht="31.5" thickBot="1">
      <c r="A126" s="13"/>
      <c r="B126" s="14" t="s">
        <v>74</v>
      </c>
      <c r="C126" s="14" t="s">
        <v>75</v>
      </c>
      <c r="D126" s="14" t="s">
        <v>313</v>
      </c>
      <c r="E126" s="20"/>
    </row>
    <row r="127" spans="1:5" ht="31.5" thickBot="1">
      <c r="A127" s="13"/>
      <c r="B127" s="14" t="s">
        <v>76</v>
      </c>
      <c r="C127" s="14" t="s">
        <v>305</v>
      </c>
      <c r="D127" s="14" t="s">
        <v>313</v>
      </c>
      <c r="E127" s="20"/>
    </row>
    <row r="128" spans="1:5" ht="31.5" thickBot="1">
      <c r="A128" s="13"/>
      <c r="B128" s="14" t="s">
        <v>78</v>
      </c>
      <c r="C128" s="14" t="s">
        <v>306</v>
      </c>
      <c r="D128" s="14" t="s">
        <v>313</v>
      </c>
      <c r="E128" s="20"/>
    </row>
    <row r="129" spans="1:5" ht="15.75" thickBot="1">
      <c r="A129" s="13"/>
      <c r="B129" s="14" t="s">
        <v>80</v>
      </c>
      <c r="C129" s="14" t="s">
        <v>67</v>
      </c>
      <c r="D129" s="14" t="s">
        <v>313</v>
      </c>
      <c r="E129" s="20"/>
    </row>
    <row r="130" spans="1:5" ht="31.5" thickBot="1">
      <c r="A130" s="13"/>
      <c r="B130" s="14" t="s">
        <v>82</v>
      </c>
      <c r="C130" s="14" t="s">
        <v>307</v>
      </c>
      <c r="D130" s="14" t="s">
        <v>313</v>
      </c>
      <c r="E130" s="20"/>
    </row>
    <row r="131" spans="1:5" ht="31.5" thickBot="1">
      <c r="A131" s="13"/>
      <c r="B131" s="14" t="s">
        <v>84</v>
      </c>
      <c r="C131" s="14" t="s">
        <v>308</v>
      </c>
      <c r="D131" s="14" t="s">
        <v>314</v>
      </c>
      <c r="E131" s="20"/>
    </row>
    <row r="132" spans="1:5" ht="15.75" thickBot="1">
      <c r="A132" s="13"/>
      <c r="B132" s="14" t="s">
        <v>86</v>
      </c>
      <c r="C132" s="14" t="s">
        <v>309</v>
      </c>
      <c r="D132" s="14" t="s">
        <v>313</v>
      </c>
      <c r="E132" s="20"/>
    </row>
    <row r="133" spans="1:5" ht="31.5" thickBot="1">
      <c r="A133" s="13"/>
      <c r="B133" s="14" t="s">
        <v>88</v>
      </c>
      <c r="C133" s="14" t="s">
        <v>89</v>
      </c>
      <c r="D133" s="14" t="s">
        <v>314</v>
      </c>
      <c r="E133" s="20"/>
    </row>
    <row r="134" spans="1:5" ht="31.5" thickBot="1">
      <c r="A134" s="13"/>
      <c r="B134" s="14" t="s">
        <v>91</v>
      </c>
      <c r="C134" s="14" t="s">
        <v>310</v>
      </c>
      <c r="D134" s="14" t="s">
        <v>314</v>
      </c>
      <c r="E134" s="20"/>
    </row>
    <row r="135" spans="1:5" ht="31.5" thickBot="1">
      <c r="A135" s="13"/>
      <c r="B135" s="14" t="s">
        <v>93</v>
      </c>
      <c r="C135" s="14" t="s">
        <v>311</v>
      </c>
      <c r="D135" s="14" t="s">
        <v>314</v>
      </c>
      <c r="E135" s="20"/>
    </row>
    <row r="136" spans="1:5" ht="31.5" thickBot="1">
      <c r="A136" s="13"/>
      <c r="B136" s="14" t="s">
        <v>95</v>
      </c>
      <c r="C136" s="14" t="s">
        <v>309</v>
      </c>
      <c r="D136" s="14" t="s">
        <v>314</v>
      </c>
      <c r="E136" s="20"/>
    </row>
    <row r="137" spans="1:5" ht="31.5" thickBot="1">
      <c r="A137" s="13"/>
      <c r="B137" s="14" t="s">
        <v>96</v>
      </c>
      <c r="C137" s="14" t="s">
        <v>97</v>
      </c>
      <c r="D137" s="14" t="s">
        <v>314</v>
      </c>
      <c r="E137" s="20"/>
    </row>
    <row r="138" spans="1:5" ht="15.75" thickBot="1">
      <c r="A138" s="13"/>
      <c r="B138" s="14" t="s">
        <v>98</v>
      </c>
      <c r="C138" s="14" t="s">
        <v>94</v>
      </c>
      <c r="D138" s="14" t="s">
        <v>313</v>
      </c>
      <c r="E138" s="20"/>
    </row>
    <row r="139" spans="1:5" ht="31.5" thickBot="1">
      <c r="A139" s="13"/>
      <c r="B139" s="14" t="s">
        <v>99</v>
      </c>
      <c r="C139" s="14" t="s">
        <v>311</v>
      </c>
      <c r="D139" s="14" t="s">
        <v>314</v>
      </c>
      <c r="E139" s="14"/>
    </row>
    <row r="140" spans="1:5" ht="31.5" thickBot="1">
      <c r="A140" s="13"/>
      <c r="B140" s="14" t="s">
        <v>101</v>
      </c>
      <c r="C140" s="14" t="s">
        <v>309</v>
      </c>
      <c r="D140" s="14"/>
      <c r="E140" s="14"/>
    </row>
    <row r="141" spans="1:5" ht="15.75" thickBot="1">
      <c r="A141" s="13"/>
      <c r="B141" s="14" t="s">
        <v>102</v>
      </c>
      <c r="C141" s="14" t="s">
        <v>309</v>
      </c>
      <c r="D141" s="14"/>
      <c r="E141" s="14"/>
    </row>
    <row r="142" spans="1:5" ht="15.75" thickBot="1">
      <c r="A142" s="13"/>
      <c r="B142" s="14" t="s">
        <v>103</v>
      </c>
      <c r="C142" s="14" t="s">
        <v>309</v>
      </c>
      <c r="D142" s="14"/>
      <c r="E142" s="14"/>
    </row>
    <row r="143" spans="1:5" ht="15.75" thickBot="1">
      <c r="A143" s="13"/>
      <c r="B143" s="14" t="s">
        <v>104</v>
      </c>
      <c r="C143" s="14" t="s">
        <v>312</v>
      </c>
      <c r="D143" s="14"/>
      <c r="E143" s="20"/>
    </row>
    <row r="144" spans="1:5" ht="15.75" thickBot="1">
      <c r="A144" s="13"/>
      <c r="B144" s="14" t="s">
        <v>106</v>
      </c>
      <c r="C144" s="14"/>
      <c r="D144" s="14"/>
      <c r="E144" s="14"/>
    </row>
    <row r="145" spans="1:5" ht="15.75" thickBot="1">
      <c r="A145" s="410" t="s">
        <v>111</v>
      </c>
      <c r="B145" s="411"/>
      <c r="C145" s="411"/>
      <c r="D145" s="411"/>
      <c r="E145" s="412"/>
    </row>
    <row r="146" spans="1:5" ht="46.5">
      <c r="A146" s="322" t="s">
        <v>21</v>
      </c>
      <c r="B146" s="19" t="s">
        <v>58</v>
      </c>
      <c r="C146" s="322" t="s">
        <v>60</v>
      </c>
      <c r="D146" s="322" t="s">
        <v>61</v>
      </c>
      <c r="E146" s="322" t="s">
        <v>62</v>
      </c>
    </row>
    <row r="147" spans="1:5" ht="31.5" thickBot="1">
      <c r="A147" s="323"/>
      <c r="B147" s="9" t="s">
        <v>59</v>
      </c>
      <c r="C147" s="323"/>
      <c r="D147" s="323"/>
      <c r="E147" s="323"/>
    </row>
    <row r="148" spans="1:5" ht="15.75" thickBot="1">
      <c r="A148" s="13"/>
      <c r="B148" s="14" t="s">
        <v>63</v>
      </c>
      <c r="C148" s="14" t="s">
        <v>303</v>
      </c>
      <c r="D148" s="14" t="s">
        <v>65</v>
      </c>
      <c r="E148" s="20"/>
    </row>
    <row r="149" spans="1:5" ht="15.75" thickBot="1">
      <c r="A149" s="13"/>
      <c r="B149" s="14" t="s">
        <v>66</v>
      </c>
      <c r="C149" s="14" t="s">
        <v>67</v>
      </c>
      <c r="D149" s="14" t="s">
        <v>65</v>
      </c>
      <c r="E149" s="20"/>
    </row>
    <row r="150" spans="1:5" ht="15.75" thickBot="1">
      <c r="A150" s="13"/>
      <c r="B150" s="14" t="s">
        <v>68</v>
      </c>
      <c r="C150" s="14" t="s">
        <v>67</v>
      </c>
      <c r="D150" s="14" t="s">
        <v>65</v>
      </c>
      <c r="E150" s="20"/>
    </row>
    <row r="151" spans="1:5" ht="15.75" thickBot="1">
      <c r="A151" s="13"/>
      <c r="B151" s="14" t="s">
        <v>69</v>
      </c>
      <c r="C151" s="14" t="s">
        <v>64</v>
      </c>
      <c r="D151" s="14" t="s">
        <v>65</v>
      </c>
      <c r="E151" s="20"/>
    </row>
    <row r="152" spans="1:5" ht="15.75" thickBot="1">
      <c r="A152" s="13"/>
      <c r="B152" s="14" t="s">
        <v>71</v>
      </c>
      <c r="C152" s="14" t="s">
        <v>64</v>
      </c>
      <c r="D152" s="14" t="s">
        <v>65</v>
      </c>
      <c r="E152" s="20"/>
    </row>
    <row r="153" spans="1:5" ht="15.75" thickBot="1">
      <c r="A153" s="13"/>
      <c r="B153" s="14" t="s">
        <v>72</v>
      </c>
      <c r="C153" s="14" t="s">
        <v>315</v>
      </c>
      <c r="D153" s="14" t="s">
        <v>65</v>
      </c>
      <c r="E153" s="20"/>
    </row>
    <row r="154" spans="1:5" ht="31.5" thickBot="1">
      <c r="A154" s="13"/>
      <c r="B154" s="14" t="s">
        <v>74</v>
      </c>
      <c r="C154" s="14" t="s">
        <v>75</v>
      </c>
      <c r="D154" s="14" t="s">
        <v>65</v>
      </c>
      <c r="E154" s="20"/>
    </row>
    <row r="155" spans="1:5" ht="31.5" thickBot="1">
      <c r="A155" s="13"/>
      <c r="B155" s="14" t="s">
        <v>76</v>
      </c>
      <c r="C155" s="14" t="s">
        <v>316</v>
      </c>
      <c r="D155" s="14" t="s">
        <v>65</v>
      </c>
      <c r="E155" s="20"/>
    </row>
    <row r="156" spans="1:5" ht="31.5" thickBot="1">
      <c r="A156" s="13"/>
      <c r="B156" s="14" t="s">
        <v>78</v>
      </c>
      <c r="C156" s="14" t="s">
        <v>79</v>
      </c>
      <c r="D156" s="14" t="s">
        <v>65</v>
      </c>
      <c r="E156" s="20"/>
    </row>
    <row r="157" spans="1:5" ht="15.75" thickBot="1">
      <c r="A157" s="13"/>
      <c r="B157" s="14" t="s">
        <v>80</v>
      </c>
      <c r="C157" s="14" t="s">
        <v>317</v>
      </c>
      <c r="D157" s="14" t="s">
        <v>65</v>
      </c>
      <c r="E157" s="20"/>
    </row>
    <row r="158" spans="1:5" ht="31.5" thickBot="1">
      <c r="A158" s="13"/>
      <c r="B158" s="14" t="s">
        <v>82</v>
      </c>
      <c r="C158" s="14" t="s">
        <v>307</v>
      </c>
      <c r="D158" s="14" t="s">
        <v>65</v>
      </c>
      <c r="E158" s="20"/>
    </row>
    <row r="159" spans="1:5" ht="15.75" thickBot="1">
      <c r="A159" s="13"/>
      <c r="B159" s="14" t="s">
        <v>84</v>
      </c>
      <c r="C159" s="14" t="s">
        <v>318</v>
      </c>
      <c r="D159" s="14" t="s">
        <v>65</v>
      </c>
      <c r="E159" s="20"/>
    </row>
    <row r="160" spans="1:5" ht="15.75" thickBot="1">
      <c r="A160" s="13"/>
      <c r="B160" s="14" t="s">
        <v>86</v>
      </c>
      <c r="C160" s="14" t="s">
        <v>318</v>
      </c>
      <c r="D160" s="14" t="s">
        <v>65</v>
      </c>
      <c r="E160" s="20"/>
    </row>
    <row r="161" spans="1:5" ht="31.5" thickBot="1">
      <c r="A161" s="13"/>
      <c r="B161" s="14" t="s">
        <v>88</v>
      </c>
      <c r="C161" s="14" t="s">
        <v>89</v>
      </c>
      <c r="D161" s="14" t="s">
        <v>65</v>
      </c>
      <c r="E161" s="20"/>
    </row>
    <row r="162" spans="1:5" ht="15.75" thickBot="1">
      <c r="A162" s="13"/>
      <c r="B162" s="14" t="s">
        <v>91</v>
      </c>
      <c r="C162" s="14" t="s">
        <v>319</v>
      </c>
      <c r="D162" s="14" t="s">
        <v>65</v>
      </c>
      <c r="E162" s="20"/>
    </row>
    <row r="163" spans="1:5" ht="15.75" thickBot="1">
      <c r="A163" s="13"/>
      <c r="B163" s="14" t="s">
        <v>93</v>
      </c>
      <c r="C163" s="14" t="s">
        <v>320</v>
      </c>
      <c r="D163" s="14" t="s">
        <v>65</v>
      </c>
      <c r="E163" s="20"/>
    </row>
    <row r="164" spans="1:5" ht="15.75" thickBot="1">
      <c r="A164" s="13"/>
      <c r="B164" s="14" t="s">
        <v>95</v>
      </c>
      <c r="C164" s="14" t="s">
        <v>309</v>
      </c>
      <c r="D164" s="14" t="s">
        <v>65</v>
      </c>
      <c r="E164" s="20"/>
    </row>
    <row r="165" spans="1:5" ht="15.75" thickBot="1">
      <c r="A165" s="13"/>
      <c r="B165" s="14" t="s">
        <v>96</v>
      </c>
      <c r="C165" s="14" t="s">
        <v>321</v>
      </c>
      <c r="D165" s="14" t="s">
        <v>65</v>
      </c>
      <c r="E165" s="20"/>
    </row>
    <row r="166" spans="1:5" ht="15.75" thickBot="1">
      <c r="A166" s="13"/>
      <c r="B166" s="14" t="s">
        <v>98</v>
      </c>
      <c r="C166" s="14" t="s">
        <v>94</v>
      </c>
      <c r="D166" s="14" t="s">
        <v>65</v>
      </c>
      <c r="E166" s="20"/>
    </row>
    <row r="167" spans="1:5" ht="31.5" thickBot="1">
      <c r="A167" s="13"/>
      <c r="B167" s="14" t="s">
        <v>99</v>
      </c>
      <c r="C167" s="14"/>
      <c r="D167" s="14"/>
      <c r="E167" s="14"/>
    </row>
    <row r="168" spans="1:5" ht="31.5" thickBot="1">
      <c r="A168" s="13"/>
      <c r="B168" s="14" t="s">
        <v>101</v>
      </c>
      <c r="C168" s="14" t="s">
        <v>94</v>
      </c>
      <c r="D168" s="14" t="s">
        <v>65</v>
      </c>
      <c r="E168" s="14"/>
    </row>
    <row r="169" spans="1:5" ht="15.75" thickBot="1">
      <c r="A169" s="13"/>
      <c r="B169" s="14" t="s">
        <v>102</v>
      </c>
      <c r="C169" s="14"/>
      <c r="D169" s="14"/>
      <c r="E169" s="14"/>
    </row>
    <row r="170" spans="1:5" ht="15.75" thickBot="1">
      <c r="A170" s="13"/>
      <c r="B170" s="14" t="s">
        <v>103</v>
      </c>
      <c r="C170" s="14"/>
      <c r="D170" s="14"/>
      <c r="E170" s="14"/>
    </row>
    <row r="171" spans="1:5" ht="15.75" thickBot="1">
      <c r="A171" s="13"/>
      <c r="B171" s="14" t="s">
        <v>104</v>
      </c>
      <c r="C171" s="14" t="s">
        <v>322</v>
      </c>
      <c r="D171" s="14" t="s">
        <v>65</v>
      </c>
      <c r="E171" s="20"/>
    </row>
    <row r="172" spans="1:5" ht="15.75" thickBot="1">
      <c r="A172" s="13"/>
      <c r="B172" s="14" t="s">
        <v>106</v>
      </c>
      <c r="C172" s="14"/>
      <c r="D172" s="14"/>
      <c r="E172" s="14"/>
    </row>
  </sheetData>
  <mergeCells count="32">
    <mergeCell ref="A5:E5"/>
    <mergeCell ref="A6:A7"/>
    <mergeCell ref="C6:C7"/>
    <mergeCell ref="D6:D7"/>
    <mergeCell ref="E6:E7"/>
    <mergeCell ref="A33:E33"/>
    <mergeCell ref="A34:A35"/>
    <mergeCell ref="C34:C35"/>
    <mergeCell ref="D34:D35"/>
    <mergeCell ref="E34:E35"/>
    <mergeCell ref="D90:D91"/>
    <mergeCell ref="E90:E91"/>
    <mergeCell ref="A61:E61"/>
    <mergeCell ref="A62:A63"/>
    <mergeCell ref="C62:C63"/>
    <mergeCell ref="D62:D63"/>
    <mergeCell ref="E62:E63"/>
    <mergeCell ref="A1:E1"/>
    <mergeCell ref="A3:E3"/>
    <mergeCell ref="A117:E117"/>
    <mergeCell ref="A118:A119"/>
    <mergeCell ref="C118:C119"/>
    <mergeCell ref="D118:D119"/>
    <mergeCell ref="E118:E119"/>
    <mergeCell ref="A89:E89"/>
    <mergeCell ref="A90:A91"/>
    <mergeCell ref="C90:C91"/>
    <mergeCell ref="A145:E145"/>
    <mergeCell ref="A146:A147"/>
    <mergeCell ref="C146:C147"/>
    <mergeCell ref="D146:D147"/>
    <mergeCell ref="E146:E147"/>
  </mergeCells>
  <printOptions/>
  <pageMargins left="0.39" right="0.15" top="0.42" bottom="0.29" header="0.41" footer="0.3"/>
  <pageSetup horizontalDpi="600" verticalDpi="600" orientation="portrait" paperSize="9" r:id="rId1"/>
  <rowBreaks count="5" manualBreakCount="5">
    <brk id="32" max="255" man="1"/>
    <brk id="60" max="255" man="1"/>
    <brk id="88" max="255" man="1"/>
    <brk id="116" max="255" man="1"/>
    <brk id="1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H186" sqref="H186"/>
    </sheetView>
  </sheetViews>
  <sheetFormatPr defaultColWidth="9.00390625" defaultRowHeight="15" customHeight="1" outlineLevelRow="3" outlineLevelCol="1"/>
  <cols>
    <col min="1" max="1" width="75.50390625" style="72" customWidth="1" collapsed="1"/>
    <col min="2" max="4" width="10.50390625" style="163" hidden="1" customWidth="1" outlineLevel="1"/>
    <col min="5" max="5" width="12.00390625" style="128" hidden="1" customWidth="1" outlineLevel="1"/>
    <col min="6" max="6" width="15.125" style="128" hidden="1" customWidth="1" outlineLevel="1"/>
    <col min="7" max="7" width="15.125" style="163" hidden="1" customWidth="1" outlineLevel="1"/>
    <col min="8" max="8" width="18.875" style="164" customWidth="1" collapsed="1"/>
    <col min="9" max="10" width="18.875" style="164" customWidth="1"/>
    <col min="11" max="16384" width="9.125" style="72" customWidth="1"/>
  </cols>
  <sheetData>
    <row r="1" spans="1:10" s="69" customFormat="1" ht="15" customHeight="1">
      <c r="A1" s="66" t="s">
        <v>323</v>
      </c>
      <c r="B1" s="67"/>
      <c r="C1" s="67"/>
      <c r="D1" s="67"/>
      <c r="E1" s="68"/>
      <c r="F1" s="68"/>
      <c r="I1" s="70"/>
      <c r="J1" s="70" t="s">
        <v>323</v>
      </c>
    </row>
    <row r="2" spans="1:10" s="69" customFormat="1" ht="15" customHeight="1">
      <c r="A2" s="69" t="s">
        <v>324</v>
      </c>
      <c r="B2" s="67"/>
      <c r="C2" s="67"/>
      <c r="D2" s="67"/>
      <c r="E2" s="68"/>
      <c r="F2" s="68"/>
      <c r="I2" s="70"/>
      <c r="J2" s="70" t="s">
        <v>325</v>
      </c>
    </row>
    <row r="3" spans="1:10" s="69" customFormat="1" ht="15" customHeight="1">
      <c r="A3" s="69" t="s">
        <v>326</v>
      </c>
      <c r="B3" s="67"/>
      <c r="C3" s="67"/>
      <c r="D3" s="67"/>
      <c r="E3" s="68"/>
      <c r="F3" s="68"/>
      <c r="I3" s="70"/>
      <c r="J3" s="70" t="s">
        <v>327</v>
      </c>
    </row>
    <row r="4" spans="2:10" s="69" customFormat="1" ht="21.75" customHeight="1">
      <c r="B4" s="67"/>
      <c r="C4" s="67"/>
      <c r="D4" s="67"/>
      <c r="E4" s="68"/>
      <c r="F4" s="68"/>
      <c r="G4" s="70"/>
      <c r="H4" s="70"/>
      <c r="I4" s="70"/>
      <c r="J4" s="70"/>
    </row>
    <row r="5" spans="1:10" ht="18" customHeight="1">
      <c r="A5" s="419" t="s">
        <v>122</v>
      </c>
      <c r="B5" s="419"/>
      <c r="C5" s="419"/>
      <c r="D5" s="419"/>
      <c r="E5" s="419"/>
      <c r="F5" s="419"/>
      <c r="G5" s="419"/>
      <c r="H5" s="419"/>
      <c r="I5" s="419"/>
      <c r="J5" s="71"/>
    </row>
    <row r="6" spans="1:10" s="69" customFormat="1" ht="15" customHeight="1" hidden="1" outlineLevel="1" thickBot="1">
      <c r="A6" s="173" t="s">
        <v>328</v>
      </c>
      <c r="B6" s="420"/>
      <c r="C6" s="420"/>
      <c r="D6" s="73"/>
      <c r="E6" s="74" t="s">
        <v>329</v>
      </c>
      <c r="F6" s="74"/>
      <c r="G6" s="75"/>
      <c r="H6" s="62" t="s">
        <v>288</v>
      </c>
      <c r="I6" s="71" t="s">
        <v>330</v>
      </c>
      <c r="J6" s="71"/>
    </row>
    <row r="7" spans="1:10" s="69" customFormat="1" ht="15" customHeight="1" hidden="1" outlineLevel="1">
      <c r="A7" s="76" t="s">
        <v>331</v>
      </c>
      <c r="B7" s="77">
        <v>2001</v>
      </c>
      <c r="C7" s="77">
        <v>2011</v>
      </c>
      <c r="D7" s="77"/>
      <c r="E7" s="78">
        <f>C7-B7</f>
        <v>10</v>
      </c>
      <c r="F7" s="78"/>
      <c r="G7" s="78"/>
      <c r="H7" s="79"/>
      <c r="I7" s="80"/>
      <c r="J7" s="80"/>
    </row>
    <row r="8" spans="1:10" s="69" customFormat="1" ht="15" customHeight="1" hidden="1" outlineLevel="1">
      <c r="A8" s="81" t="s">
        <v>332</v>
      </c>
      <c r="B8" s="82"/>
      <c r="C8" s="82"/>
      <c r="D8" s="82"/>
      <c r="E8" s="82">
        <v>2611.1</v>
      </c>
      <c r="F8" s="82"/>
      <c r="G8" s="83"/>
      <c r="H8" s="84"/>
      <c r="I8" s="85"/>
      <c r="J8" s="85"/>
    </row>
    <row r="9" spans="1:10" s="69" customFormat="1" ht="15" customHeight="1" hidden="1" outlineLevel="1">
      <c r="A9" s="81" t="s">
        <v>25</v>
      </c>
      <c r="B9" s="82"/>
      <c r="C9" s="82"/>
      <c r="D9" s="82"/>
      <c r="E9" s="82">
        <v>23</v>
      </c>
      <c r="F9" s="82"/>
      <c r="G9" s="83"/>
      <c r="H9" s="84"/>
      <c r="I9" s="85"/>
      <c r="J9" s="85"/>
    </row>
    <row r="10" spans="1:10" s="69" customFormat="1" ht="15" customHeight="1" hidden="1" outlineLevel="1">
      <c r="A10" s="81" t="s">
        <v>333</v>
      </c>
      <c r="B10" s="82"/>
      <c r="C10" s="82"/>
      <c r="D10" s="82"/>
      <c r="E10" s="82">
        <v>607.1</v>
      </c>
      <c r="F10" s="82"/>
      <c r="G10" s="83"/>
      <c r="H10" s="84"/>
      <c r="I10" s="85"/>
      <c r="J10" s="85"/>
    </row>
    <row r="11" spans="1:10" s="69" customFormat="1" ht="15" customHeight="1" hidden="1" outlineLevel="1">
      <c r="A11" s="81" t="s">
        <v>334</v>
      </c>
      <c r="B11" s="82"/>
      <c r="C11" s="82"/>
      <c r="D11" s="82"/>
      <c r="E11" s="82">
        <v>0</v>
      </c>
      <c r="F11" s="82"/>
      <c r="G11" s="83"/>
      <c r="H11" s="84"/>
      <c r="I11" s="85"/>
      <c r="J11" s="85"/>
    </row>
    <row r="12" spans="1:10" s="69" customFormat="1" ht="15" customHeight="1" hidden="1" outlineLevel="1">
      <c r="A12" s="81" t="s">
        <v>335</v>
      </c>
      <c r="B12" s="82"/>
      <c r="C12" s="82"/>
      <c r="D12" s="82"/>
      <c r="E12" s="82">
        <v>10728</v>
      </c>
      <c r="F12" s="82"/>
      <c r="G12" s="83"/>
      <c r="H12" s="84"/>
      <c r="I12" s="85"/>
      <c r="J12" s="85"/>
    </row>
    <row r="13" spans="1:10" s="69" customFormat="1" ht="15" customHeight="1" hidden="1" outlineLevel="1">
      <c r="A13" s="81" t="s">
        <v>336</v>
      </c>
      <c r="B13" s="82"/>
      <c r="C13" s="82"/>
      <c r="D13" s="82"/>
      <c r="E13" s="82">
        <v>0</v>
      </c>
      <c r="F13" s="82"/>
      <c r="G13" s="83"/>
      <c r="H13" s="84"/>
      <c r="I13" s="85"/>
      <c r="J13" s="85"/>
    </row>
    <row r="14" spans="1:10" s="69" customFormat="1" ht="15" customHeight="1" hidden="1" outlineLevel="1">
      <c r="A14" s="81" t="s">
        <v>337</v>
      </c>
      <c r="B14" s="82"/>
      <c r="C14" s="82"/>
      <c r="D14" s="82"/>
      <c r="E14" s="82">
        <v>159.5</v>
      </c>
      <c r="F14" s="82"/>
      <c r="G14" s="83"/>
      <c r="H14" s="84"/>
      <c r="I14" s="85"/>
      <c r="J14" s="85"/>
    </row>
    <row r="15" spans="1:10" s="69" customFormat="1" ht="15" customHeight="1" hidden="1" outlineLevel="1">
      <c r="A15" s="81" t="s">
        <v>338</v>
      </c>
      <c r="B15" s="82"/>
      <c r="C15" s="82"/>
      <c r="D15" s="82"/>
      <c r="E15" s="82">
        <f>403+379</f>
        <v>782</v>
      </c>
      <c r="F15" s="82"/>
      <c r="G15" s="83"/>
      <c r="H15" s="84"/>
      <c r="I15" s="85"/>
      <c r="J15" s="85"/>
    </row>
    <row r="16" spans="1:10" s="69" customFormat="1" ht="15" customHeight="1" hidden="1" outlineLevel="1">
      <c r="A16" s="81" t="s">
        <v>339</v>
      </c>
      <c r="B16" s="82"/>
      <c r="C16" s="82"/>
      <c r="D16" s="82"/>
      <c r="E16" s="82">
        <v>120</v>
      </c>
      <c r="F16" s="82"/>
      <c r="G16" s="83"/>
      <c r="H16" s="84"/>
      <c r="I16" s="85"/>
      <c r="J16" s="85"/>
    </row>
    <row r="17" spans="1:10" s="69" customFormat="1" ht="15" customHeight="1" hidden="1" outlineLevel="1">
      <c r="A17" s="81" t="s">
        <v>340</v>
      </c>
      <c r="B17" s="82"/>
      <c r="C17" s="82"/>
      <c r="D17" s="82"/>
      <c r="E17" s="82">
        <v>230</v>
      </c>
      <c r="F17" s="82"/>
      <c r="G17" s="83"/>
      <c r="H17" s="84"/>
      <c r="I17" s="85"/>
      <c r="J17" s="85"/>
    </row>
    <row r="18" spans="1:10" s="69" customFormat="1" ht="15" customHeight="1" hidden="1" outlineLevel="1">
      <c r="A18" s="81" t="s">
        <v>341</v>
      </c>
      <c r="B18" s="82"/>
      <c r="C18" s="82"/>
      <c r="D18" s="82"/>
      <c r="E18" s="82">
        <v>583</v>
      </c>
      <c r="F18" s="82"/>
      <c r="G18" s="83"/>
      <c r="H18" s="84"/>
      <c r="I18" s="85"/>
      <c r="J18" s="85"/>
    </row>
    <row r="19" spans="1:10" s="69" customFormat="1" ht="15" customHeight="1" hidden="1" outlineLevel="1">
      <c r="A19" s="81" t="s">
        <v>342</v>
      </c>
      <c r="B19" s="82"/>
      <c r="C19" s="82"/>
      <c r="D19" s="82"/>
      <c r="E19" s="82">
        <v>0</v>
      </c>
      <c r="F19" s="82"/>
      <c r="G19" s="83"/>
      <c r="H19" s="84"/>
      <c r="I19" s="85"/>
      <c r="J19" s="85"/>
    </row>
    <row r="20" spans="1:10" s="69" customFormat="1" ht="15" customHeight="1" hidden="1" outlineLevel="1">
      <c r="A20" s="81" t="s">
        <v>343</v>
      </c>
      <c r="B20" s="82"/>
      <c r="C20" s="82"/>
      <c r="D20" s="82"/>
      <c r="E20" s="82">
        <v>6</v>
      </c>
      <c r="F20" s="82"/>
      <c r="G20" s="83"/>
      <c r="H20" s="84"/>
      <c r="I20" s="85"/>
      <c r="J20" s="85"/>
    </row>
    <row r="21" spans="1:10" s="69" customFormat="1" ht="15" customHeight="1" hidden="1" outlineLevel="1">
      <c r="A21" s="81" t="s">
        <v>344</v>
      </c>
      <c r="B21" s="82"/>
      <c r="C21" s="82"/>
      <c r="D21" s="82"/>
      <c r="E21" s="82">
        <v>827</v>
      </c>
      <c r="F21" s="82"/>
      <c r="G21" s="83"/>
      <c r="H21" s="84"/>
      <c r="I21" s="85"/>
      <c r="J21" s="85"/>
    </row>
    <row r="22" spans="1:10" s="69" customFormat="1" ht="15" customHeight="1" hidden="1" outlineLevel="1">
      <c r="A22" s="81" t="s">
        <v>345</v>
      </c>
      <c r="B22" s="82"/>
      <c r="C22" s="82"/>
      <c r="D22" s="82"/>
      <c r="E22" s="82">
        <v>1</v>
      </c>
      <c r="F22" s="82"/>
      <c r="G22" s="83"/>
      <c r="H22" s="84"/>
      <c r="I22" s="85"/>
      <c r="J22" s="85"/>
    </row>
    <row r="23" spans="1:10" s="69" customFormat="1" ht="15" customHeight="1" hidden="1" outlineLevel="1">
      <c r="A23" s="81" t="s">
        <v>346</v>
      </c>
      <c r="B23" s="82"/>
      <c r="C23" s="82"/>
      <c r="D23" s="82"/>
      <c r="E23" s="82">
        <v>0</v>
      </c>
      <c r="F23" s="82"/>
      <c r="G23" s="83"/>
      <c r="H23" s="84"/>
      <c r="I23" s="85"/>
      <c r="J23" s="85"/>
    </row>
    <row r="24" spans="1:10" s="69" customFormat="1" ht="15" customHeight="1" hidden="1" outlineLevel="1">
      <c r="A24" s="81" t="s">
        <v>347</v>
      </c>
      <c r="B24" s="82"/>
      <c r="C24" s="82"/>
      <c r="D24" s="82"/>
      <c r="E24" s="82">
        <v>0</v>
      </c>
      <c r="F24" s="82"/>
      <c r="G24" s="83"/>
      <c r="H24" s="84"/>
      <c r="I24" s="85"/>
      <c r="J24" s="85"/>
    </row>
    <row r="25" spans="1:10" s="69" customFormat="1" ht="15" customHeight="1" hidden="1" outlineLevel="1">
      <c r="A25" s="81" t="s">
        <v>348</v>
      </c>
      <c r="B25" s="82"/>
      <c r="C25" s="82"/>
      <c r="D25" s="82"/>
      <c r="E25" s="82">
        <v>1</v>
      </c>
      <c r="F25" s="82"/>
      <c r="G25" s="83"/>
      <c r="H25" s="84"/>
      <c r="I25" s="85"/>
      <c r="J25" s="85"/>
    </row>
    <row r="26" spans="1:10" s="69" customFormat="1" ht="15" customHeight="1" hidden="1" outlineLevel="1">
      <c r="A26" s="81" t="s">
        <v>349</v>
      </c>
      <c r="B26" s="82"/>
      <c r="C26" s="82"/>
      <c r="D26" s="82"/>
      <c r="E26" s="82">
        <v>23</v>
      </c>
      <c r="F26" s="82"/>
      <c r="G26" s="83"/>
      <c r="H26" s="84"/>
      <c r="I26" s="85"/>
      <c r="J26" s="85"/>
    </row>
    <row r="27" spans="1:10" s="69" customFormat="1" ht="15" customHeight="1" hidden="1" outlineLevel="1">
      <c r="A27" s="81" t="s">
        <v>31</v>
      </c>
      <c r="B27" s="82"/>
      <c r="C27" s="82"/>
      <c r="D27" s="82"/>
      <c r="E27" s="82">
        <v>0</v>
      </c>
      <c r="F27" s="82"/>
      <c r="G27" s="83"/>
      <c r="H27" s="84"/>
      <c r="I27" s="85"/>
      <c r="J27" s="85"/>
    </row>
    <row r="28" spans="1:10" s="69" customFormat="1" ht="15" customHeight="1" hidden="1" outlineLevel="1">
      <c r="A28" s="81" t="s">
        <v>350</v>
      </c>
      <c r="B28" s="82"/>
      <c r="C28" s="82"/>
      <c r="D28" s="82"/>
      <c r="E28" s="82">
        <v>159.5</v>
      </c>
      <c r="F28" s="82"/>
      <c r="G28" s="83"/>
      <c r="H28" s="84"/>
      <c r="I28" s="85"/>
      <c r="J28" s="85"/>
    </row>
    <row r="29" spans="1:10" s="69" customFormat="1" ht="15" customHeight="1" hidden="1" outlineLevel="1">
      <c r="A29" s="81" t="s">
        <v>351</v>
      </c>
      <c r="B29" s="82"/>
      <c r="C29" s="82"/>
      <c r="D29" s="82"/>
      <c r="E29" s="82">
        <v>23</v>
      </c>
      <c r="F29" s="82"/>
      <c r="G29" s="83"/>
      <c r="H29" s="84"/>
      <c r="I29" s="85"/>
      <c r="J29" s="85"/>
    </row>
    <row r="30" spans="1:10" s="69" customFormat="1" ht="15" customHeight="1" hidden="1" outlineLevel="1">
      <c r="A30" s="81" t="s">
        <v>352</v>
      </c>
      <c r="B30" s="82"/>
      <c r="C30" s="82"/>
      <c r="D30" s="82"/>
      <c r="E30" s="82">
        <v>23</v>
      </c>
      <c r="F30" s="82"/>
      <c r="G30" s="83"/>
      <c r="H30" s="84"/>
      <c r="I30" s="85"/>
      <c r="J30" s="85"/>
    </row>
    <row r="31" spans="1:10" s="69" customFormat="1" ht="15" customHeight="1" hidden="1" outlineLevel="1">
      <c r="A31" s="81" t="s">
        <v>353</v>
      </c>
      <c r="B31" s="82"/>
      <c r="C31" s="82"/>
      <c r="D31" s="82"/>
      <c r="E31" s="82">
        <v>0</v>
      </c>
      <c r="F31" s="82"/>
      <c r="G31" s="83"/>
      <c r="H31" s="84"/>
      <c r="I31" s="85"/>
      <c r="J31" s="85"/>
    </row>
    <row r="32" spans="1:10" s="69" customFormat="1" ht="15" customHeight="1" hidden="1" outlineLevel="1">
      <c r="A32" s="81" t="s">
        <v>354</v>
      </c>
      <c r="B32" s="82"/>
      <c r="C32" s="82"/>
      <c r="D32" s="82"/>
      <c r="E32" s="82">
        <v>0</v>
      </c>
      <c r="F32" s="82"/>
      <c r="G32" s="83"/>
      <c r="H32" s="84"/>
      <c r="I32" s="85"/>
      <c r="J32" s="85"/>
    </row>
    <row r="33" spans="1:10" s="69" customFormat="1" ht="15" customHeight="1" hidden="1" outlineLevel="1">
      <c r="A33" s="81" t="s">
        <v>355</v>
      </c>
      <c r="B33" s="82"/>
      <c r="C33" s="82"/>
      <c r="D33" s="82"/>
      <c r="E33" s="82">
        <v>0</v>
      </c>
      <c r="F33" s="82"/>
      <c r="G33" s="83"/>
      <c r="H33" s="84"/>
      <c r="I33" s="85"/>
      <c r="J33" s="85"/>
    </row>
    <row r="34" spans="1:10" s="69" customFormat="1" ht="15" customHeight="1" hidden="1" outlineLevel="1">
      <c r="A34" s="81" t="s">
        <v>356</v>
      </c>
      <c r="B34" s="82"/>
      <c r="C34" s="82"/>
      <c r="D34" s="82"/>
      <c r="E34" s="82">
        <v>0</v>
      </c>
      <c r="F34" s="82"/>
      <c r="G34" s="83"/>
      <c r="H34" s="84"/>
      <c r="I34" s="85"/>
      <c r="J34" s="85"/>
    </row>
    <row r="35" spans="1:10" s="69" customFormat="1" ht="15" customHeight="1" hidden="1" outlineLevel="1" thickBot="1">
      <c r="A35" s="81" t="s">
        <v>357</v>
      </c>
      <c r="B35" s="82"/>
      <c r="C35" s="82"/>
      <c r="D35" s="82"/>
      <c r="E35" s="82">
        <v>0</v>
      </c>
      <c r="F35" s="82"/>
      <c r="G35" s="83"/>
      <c r="H35" s="84"/>
      <c r="I35" s="85"/>
      <c r="J35" s="85"/>
    </row>
    <row r="36" spans="1:10" s="69" customFormat="1" ht="15" customHeight="1" hidden="1" outlineLevel="1">
      <c r="A36" s="174" t="s">
        <v>517</v>
      </c>
      <c r="B36" s="78"/>
      <c r="C36" s="78"/>
      <c r="D36" s="78"/>
      <c r="E36" s="175"/>
      <c r="F36" s="175"/>
      <c r="G36" s="78"/>
      <c r="H36" s="175" t="e">
        <f>#REF!</f>
        <v>#REF!</v>
      </c>
      <c r="I36" s="225" t="e">
        <f>H36/12</f>
        <v>#REF!</v>
      </c>
      <c r="J36" s="225"/>
    </row>
    <row r="37" spans="1:10" s="69" customFormat="1" ht="15" customHeight="1" hidden="1" outlineLevel="1">
      <c r="A37" s="178" t="s">
        <v>518</v>
      </c>
      <c r="B37" s="83"/>
      <c r="C37" s="83"/>
      <c r="D37" s="83"/>
      <c r="E37" s="179"/>
      <c r="F37" s="179"/>
      <c r="G37" s="83"/>
      <c r="H37" s="179">
        <f>F174</f>
        <v>55.3804</v>
      </c>
      <c r="I37" s="226">
        <f>H37/12</f>
        <v>4.615033333333334</v>
      </c>
      <c r="J37" s="226"/>
    </row>
    <row r="38" spans="1:10" s="69" customFormat="1" ht="15" customHeight="1" hidden="1" outlineLevel="1">
      <c r="A38" s="178" t="s">
        <v>519</v>
      </c>
      <c r="B38" s="83"/>
      <c r="C38" s="83"/>
      <c r="D38" s="83"/>
      <c r="E38" s="179"/>
      <c r="F38" s="179"/>
      <c r="G38" s="83"/>
      <c r="H38" s="179" t="e">
        <f>#REF!</f>
        <v>#REF!</v>
      </c>
      <c r="I38" s="226" t="e">
        <f>H38/12</f>
        <v>#REF!</v>
      </c>
      <c r="J38" s="226"/>
    </row>
    <row r="39" spans="1:10" s="69" customFormat="1" ht="15" customHeight="1" hidden="1" outlineLevel="1">
      <c r="A39" s="178" t="s">
        <v>520</v>
      </c>
      <c r="B39" s="83"/>
      <c r="C39" s="83"/>
      <c r="D39" s="83"/>
      <c r="E39" s="179"/>
      <c r="F39" s="179"/>
      <c r="G39" s="83"/>
      <c r="H39" s="179" t="e">
        <f>#REF!</f>
        <v>#REF!</v>
      </c>
      <c r="I39" s="226" t="e">
        <f>H39/5.5</f>
        <v>#REF!</v>
      </c>
      <c r="J39" s="226"/>
    </row>
    <row r="40" spans="1:10" s="69" customFormat="1" ht="15" customHeight="1" hidden="1" outlineLevel="1">
      <c r="A40" s="178" t="s">
        <v>521</v>
      </c>
      <c r="B40" s="83"/>
      <c r="C40" s="83"/>
      <c r="D40" s="83"/>
      <c r="E40" s="179"/>
      <c r="F40" s="179"/>
      <c r="G40" s="83"/>
      <c r="H40" s="179" t="e">
        <f>#REF!</f>
        <v>#REF!</v>
      </c>
      <c r="I40" s="226" t="e">
        <f>H40/6.5</f>
        <v>#REF!</v>
      </c>
      <c r="J40" s="226"/>
    </row>
    <row r="41" spans="1:10" s="69" customFormat="1" ht="15" customHeight="1" hidden="1" outlineLevel="1" thickBot="1">
      <c r="A41" s="227" t="s">
        <v>522</v>
      </c>
      <c r="B41" s="88"/>
      <c r="C41" s="88"/>
      <c r="D41" s="88"/>
      <c r="E41" s="228"/>
      <c r="F41" s="228"/>
      <c r="G41" s="88"/>
      <c r="H41" s="228">
        <f>F50</f>
        <v>0</v>
      </c>
      <c r="I41" s="229">
        <f>H41/12</f>
        <v>0</v>
      </c>
      <c r="J41" s="229"/>
    </row>
    <row r="42" spans="1:10" s="91" customFormat="1" ht="20.25" customHeight="1" collapsed="1" thickBot="1">
      <c r="A42" s="421" t="s">
        <v>287</v>
      </c>
      <c r="B42" s="421"/>
      <c r="C42" s="421"/>
      <c r="D42" s="421"/>
      <c r="E42" s="421"/>
      <c r="F42" s="421"/>
      <c r="G42" s="180" t="s">
        <v>358</v>
      </c>
      <c r="H42" s="63" t="s">
        <v>288</v>
      </c>
      <c r="I42" s="63" t="s">
        <v>294</v>
      </c>
      <c r="J42" s="63" t="s">
        <v>300</v>
      </c>
    </row>
    <row r="43" spans="1:10" s="97" customFormat="1" ht="31.5" thickBot="1">
      <c r="A43" s="92" t="s">
        <v>274</v>
      </c>
      <c r="B43" s="93" t="s">
        <v>359</v>
      </c>
      <c r="C43" s="93" t="s">
        <v>360</v>
      </c>
      <c r="D43" s="93" t="s">
        <v>361</v>
      </c>
      <c r="E43" s="93" t="s">
        <v>329</v>
      </c>
      <c r="F43" s="93" t="s">
        <v>362</v>
      </c>
      <c r="G43" s="94" t="s">
        <v>363</v>
      </c>
      <c r="H43" s="95">
        <v>99922.92</v>
      </c>
      <c r="I43" s="95">
        <f aca="true" t="shared" si="0" ref="I43:I50">H43/12</f>
        <v>8326.91</v>
      </c>
      <c r="J43" s="96">
        <f aca="true" t="shared" si="1" ref="J43:J74">I43/$E$8</f>
        <v>3.1890429320975833</v>
      </c>
    </row>
    <row r="44" spans="1:10" s="97" customFormat="1" ht="31.5" thickBot="1">
      <c r="A44" s="92" t="s">
        <v>273</v>
      </c>
      <c r="B44" s="93" t="s">
        <v>359</v>
      </c>
      <c r="C44" s="93" t="s">
        <v>360</v>
      </c>
      <c r="D44" s="93" t="s">
        <v>361</v>
      </c>
      <c r="E44" s="93" t="s">
        <v>329</v>
      </c>
      <c r="F44" s="93" t="s">
        <v>362</v>
      </c>
      <c r="G44" s="94" t="s">
        <v>363</v>
      </c>
      <c r="H44" s="95">
        <v>69629.4</v>
      </c>
      <c r="I44" s="95">
        <f t="shared" si="0"/>
        <v>5802.45</v>
      </c>
      <c r="J44" s="96">
        <f t="shared" si="1"/>
        <v>2.2222243498908507</v>
      </c>
    </row>
    <row r="45" spans="1:10" s="118" customFormat="1" ht="31.5" thickBot="1">
      <c r="A45" s="92" t="s">
        <v>275</v>
      </c>
      <c r="B45" s="93" t="s">
        <v>359</v>
      </c>
      <c r="C45" s="93" t="s">
        <v>360</v>
      </c>
      <c r="D45" s="93" t="s">
        <v>361</v>
      </c>
      <c r="E45" s="93" t="s">
        <v>329</v>
      </c>
      <c r="F45" s="93" t="s">
        <v>362</v>
      </c>
      <c r="G45" s="94" t="s">
        <v>363</v>
      </c>
      <c r="H45" s="95">
        <v>131607.76</v>
      </c>
      <c r="I45" s="95">
        <f t="shared" si="0"/>
        <v>10967.313333333334</v>
      </c>
      <c r="J45" s="96">
        <f t="shared" si="1"/>
        <v>4.2002655330448215</v>
      </c>
    </row>
    <row r="46" spans="1:10" s="123" customFormat="1" ht="15" customHeight="1" hidden="1" outlineLevel="2">
      <c r="A46" s="126" t="s">
        <v>384</v>
      </c>
      <c r="B46" s="120"/>
      <c r="C46" s="120">
        <v>1</v>
      </c>
      <c r="D46" s="134">
        <v>8</v>
      </c>
      <c r="E46" s="121">
        <v>1</v>
      </c>
      <c r="F46" s="120">
        <f>C46*D46*E46</f>
        <v>8</v>
      </c>
      <c r="G46" s="119">
        <v>766</v>
      </c>
      <c r="H46" s="121">
        <f>F46*G46</f>
        <v>6128</v>
      </c>
      <c r="I46" s="121">
        <f t="shared" si="0"/>
        <v>510.6666666666667</v>
      </c>
      <c r="J46" s="122">
        <f t="shared" si="1"/>
        <v>0.19557530032042691</v>
      </c>
    </row>
    <row r="47" spans="1:10" s="123" customFormat="1" ht="15" customHeight="1" hidden="1" outlineLevel="2">
      <c r="A47" s="126" t="s">
        <v>385</v>
      </c>
      <c r="B47" s="120"/>
      <c r="C47" s="120">
        <v>1</v>
      </c>
      <c r="D47" s="134">
        <v>8</v>
      </c>
      <c r="E47" s="121">
        <v>1</v>
      </c>
      <c r="F47" s="120">
        <f>C47*D47*E47</f>
        <v>8</v>
      </c>
      <c r="G47" s="119">
        <v>680</v>
      </c>
      <c r="H47" s="121">
        <f>F47*G47</f>
        <v>5440</v>
      </c>
      <c r="I47" s="121">
        <f t="shared" si="0"/>
        <v>453.3333333333333</v>
      </c>
      <c r="J47" s="122">
        <f t="shared" si="1"/>
        <v>0.17361776007557478</v>
      </c>
    </row>
    <row r="48" spans="1:10" s="123" customFormat="1" ht="15" customHeight="1" hidden="1" outlineLevel="2">
      <c r="A48" s="126" t="s">
        <v>386</v>
      </c>
      <c r="B48" s="120"/>
      <c r="C48" s="120">
        <v>1</v>
      </c>
      <c r="D48" s="134">
        <v>8</v>
      </c>
      <c r="E48" s="121">
        <v>1</v>
      </c>
      <c r="F48" s="120">
        <f>C48*D48*E48</f>
        <v>8</v>
      </c>
      <c r="G48" s="119">
        <v>790</v>
      </c>
      <c r="H48" s="121">
        <f>F48*G48</f>
        <v>6320</v>
      </c>
      <c r="I48" s="121">
        <f t="shared" si="0"/>
        <v>526.6666666666666</v>
      </c>
      <c r="J48" s="122">
        <f t="shared" si="1"/>
        <v>0.20170298597015307</v>
      </c>
    </row>
    <row r="49" spans="1:10" s="118" customFormat="1" ht="31.5" hidden="1" collapsed="1" thickBot="1">
      <c r="A49" s="92" t="s">
        <v>282</v>
      </c>
      <c r="B49" s="93" t="s">
        <v>359</v>
      </c>
      <c r="C49" s="93" t="s">
        <v>360</v>
      </c>
      <c r="D49" s="93" t="s">
        <v>361</v>
      </c>
      <c r="E49" s="93" t="s">
        <v>329</v>
      </c>
      <c r="F49" s="93" t="s">
        <v>362</v>
      </c>
      <c r="G49" s="94" t="s">
        <v>363</v>
      </c>
      <c r="H49" s="95">
        <f>H50+H141+H142+H143+H144+H164+H172</f>
        <v>0</v>
      </c>
      <c r="I49" s="95">
        <f t="shared" si="0"/>
        <v>0</v>
      </c>
      <c r="J49" s="96">
        <f t="shared" si="1"/>
        <v>0</v>
      </c>
    </row>
    <row r="50" spans="1:10" s="69" customFormat="1" ht="15" customHeight="1" hidden="1" outlineLevel="1">
      <c r="A50" s="135" t="s">
        <v>387</v>
      </c>
      <c r="B50" s="68" t="s">
        <v>364</v>
      </c>
      <c r="C50" s="68" t="s">
        <v>364</v>
      </c>
      <c r="D50" s="68" t="s">
        <v>364</v>
      </c>
      <c r="E50" s="68" t="s">
        <v>364</v>
      </c>
      <c r="F50" s="68">
        <f>SUM(F51:F140)</f>
        <v>0</v>
      </c>
      <c r="G50" s="108">
        <v>6000</v>
      </c>
      <c r="H50" s="108">
        <f>F50*G50</f>
        <v>0</v>
      </c>
      <c r="I50" s="108">
        <f t="shared" si="0"/>
        <v>0</v>
      </c>
      <c r="J50" s="109">
        <f t="shared" si="1"/>
        <v>0</v>
      </c>
    </row>
    <row r="51" spans="1:10" s="138" customFormat="1" ht="15" customHeight="1" hidden="1" outlineLevel="3">
      <c r="A51" s="136" t="s">
        <v>388</v>
      </c>
      <c r="B51" s="137" t="s">
        <v>389</v>
      </c>
      <c r="C51" s="137">
        <v>440</v>
      </c>
      <c r="D51" s="137">
        <v>12</v>
      </c>
      <c r="E51" s="112"/>
      <c r="F51" s="110">
        <f>E51/C51*D51</f>
        <v>0</v>
      </c>
      <c r="G51" s="112"/>
      <c r="H51" s="111"/>
      <c r="I51" s="111"/>
      <c r="J51" s="113">
        <f t="shared" si="1"/>
        <v>0</v>
      </c>
    </row>
    <row r="52" spans="1:10" s="138" customFormat="1" ht="15" customHeight="1" hidden="1" outlineLevel="3">
      <c r="A52" s="136" t="s">
        <v>390</v>
      </c>
      <c r="B52" s="137" t="s">
        <v>389</v>
      </c>
      <c r="C52" s="137">
        <v>420</v>
      </c>
      <c r="D52" s="137">
        <v>12</v>
      </c>
      <c r="E52" s="112"/>
      <c r="F52" s="110">
        <f aca="true" t="shared" si="2" ref="F52:F115">E52/C52*D52</f>
        <v>0</v>
      </c>
      <c r="G52" s="112"/>
      <c r="H52" s="111"/>
      <c r="I52" s="111"/>
      <c r="J52" s="113">
        <f t="shared" si="1"/>
        <v>0</v>
      </c>
    </row>
    <row r="53" spans="1:10" s="138" customFormat="1" ht="15" customHeight="1" hidden="1" outlineLevel="3">
      <c r="A53" s="136" t="s">
        <v>391</v>
      </c>
      <c r="B53" s="137" t="s">
        <v>389</v>
      </c>
      <c r="C53" s="137">
        <v>410</v>
      </c>
      <c r="D53" s="137">
        <v>12</v>
      </c>
      <c r="E53" s="112"/>
      <c r="F53" s="110">
        <f t="shared" si="2"/>
        <v>0</v>
      </c>
      <c r="G53" s="112"/>
      <c r="H53" s="111"/>
      <c r="I53" s="111"/>
      <c r="J53" s="113">
        <f t="shared" si="1"/>
        <v>0</v>
      </c>
    </row>
    <row r="54" spans="1:10" s="138" customFormat="1" ht="15" customHeight="1" hidden="1" outlineLevel="3">
      <c r="A54" s="136" t="s">
        <v>392</v>
      </c>
      <c r="B54" s="137" t="s">
        <v>389</v>
      </c>
      <c r="C54" s="137">
        <v>460</v>
      </c>
      <c r="D54" s="137">
        <v>12</v>
      </c>
      <c r="E54" s="112"/>
      <c r="F54" s="110">
        <f t="shared" si="2"/>
        <v>0</v>
      </c>
      <c r="G54" s="112"/>
      <c r="H54" s="111"/>
      <c r="I54" s="111"/>
      <c r="J54" s="113">
        <f t="shared" si="1"/>
        <v>0</v>
      </c>
    </row>
    <row r="55" spans="1:10" s="138" customFormat="1" ht="15" customHeight="1" hidden="1" outlineLevel="3">
      <c r="A55" s="136" t="s">
        <v>393</v>
      </c>
      <c r="B55" s="137" t="s">
        <v>389</v>
      </c>
      <c r="C55" s="137">
        <v>450</v>
      </c>
      <c r="D55" s="137">
        <v>12</v>
      </c>
      <c r="E55" s="112"/>
      <c r="F55" s="110">
        <f t="shared" si="2"/>
        <v>0</v>
      </c>
      <c r="G55" s="112"/>
      <c r="H55" s="111"/>
      <c r="I55" s="111"/>
      <c r="J55" s="113">
        <f t="shared" si="1"/>
        <v>0</v>
      </c>
    </row>
    <row r="56" spans="1:10" s="138" customFormat="1" ht="15" customHeight="1" hidden="1" outlineLevel="3">
      <c r="A56" s="136" t="s">
        <v>394</v>
      </c>
      <c r="B56" s="137" t="s">
        <v>389</v>
      </c>
      <c r="C56" s="137">
        <v>440</v>
      </c>
      <c r="D56" s="137">
        <v>12</v>
      </c>
      <c r="E56" s="112"/>
      <c r="F56" s="110">
        <f t="shared" si="2"/>
        <v>0</v>
      </c>
      <c r="G56" s="112"/>
      <c r="H56" s="111"/>
      <c r="I56" s="111"/>
      <c r="J56" s="113">
        <f t="shared" si="1"/>
        <v>0</v>
      </c>
    </row>
    <row r="57" spans="1:10" s="138" customFormat="1" ht="15" customHeight="1" hidden="1" outlineLevel="3">
      <c r="A57" s="136" t="s">
        <v>395</v>
      </c>
      <c r="B57" s="137" t="s">
        <v>389</v>
      </c>
      <c r="C57" s="137">
        <v>370</v>
      </c>
      <c r="D57" s="137">
        <v>12</v>
      </c>
      <c r="E57" s="112"/>
      <c r="F57" s="110">
        <f t="shared" si="2"/>
        <v>0</v>
      </c>
      <c r="G57" s="112"/>
      <c r="H57" s="111"/>
      <c r="I57" s="111"/>
      <c r="J57" s="113">
        <f t="shared" si="1"/>
        <v>0</v>
      </c>
    </row>
    <row r="58" spans="1:10" s="138" customFormat="1" ht="15" customHeight="1" hidden="1" outlineLevel="3">
      <c r="A58" s="136" t="s">
        <v>396</v>
      </c>
      <c r="B58" s="137" t="s">
        <v>389</v>
      </c>
      <c r="C58" s="137">
        <v>360</v>
      </c>
      <c r="D58" s="137">
        <v>12</v>
      </c>
      <c r="E58" s="112"/>
      <c r="F58" s="110">
        <f t="shared" si="2"/>
        <v>0</v>
      </c>
      <c r="G58" s="112"/>
      <c r="H58" s="111"/>
      <c r="I58" s="111"/>
      <c r="J58" s="113">
        <f t="shared" si="1"/>
        <v>0</v>
      </c>
    </row>
    <row r="59" spans="1:10" s="138" customFormat="1" ht="15" customHeight="1" hidden="1" outlineLevel="3">
      <c r="A59" s="136" t="s">
        <v>397</v>
      </c>
      <c r="B59" s="137" t="s">
        <v>389</v>
      </c>
      <c r="C59" s="137">
        <v>350</v>
      </c>
      <c r="D59" s="137">
        <v>12</v>
      </c>
      <c r="E59" s="112"/>
      <c r="F59" s="110">
        <f t="shared" si="2"/>
        <v>0</v>
      </c>
      <c r="G59" s="112"/>
      <c r="H59" s="111"/>
      <c r="I59" s="111"/>
      <c r="J59" s="113">
        <f t="shared" si="1"/>
        <v>0</v>
      </c>
    </row>
    <row r="60" spans="1:10" s="138" customFormat="1" ht="15" customHeight="1" hidden="1" outlineLevel="3">
      <c r="A60" s="136" t="s">
        <v>398</v>
      </c>
      <c r="B60" s="137" t="s">
        <v>389</v>
      </c>
      <c r="C60" s="137">
        <v>490</v>
      </c>
      <c r="D60" s="137">
        <v>12</v>
      </c>
      <c r="E60" s="112"/>
      <c r="F60" s="110">
        <f t="shared" si="2"/>
        <v>0</v>
      </c>
      <c r="G60" s="112"/>
      <c r="H60" s="111"/>
      <c r="I60" s="111"/>
      <c r="J60" s="113">
        <f t="shared" si="1"/>
        <v>0</v>
      </c>
    </row>
    <row r="61" spans="1:10" s="138" customFormat="1" ht="15" customHeight="1" hidden="1" outlineLevel="3">
      <c r="A61" s="136" t="s">
        <v>399</v>
      </c>
      <c r="B61" s="137" t="s">
        <v>389</v>
      </c>
      <c r="C61" s="137">
        <v>470</v>
      </c>
      <c r="D61" s="137">
        <v>12</v>
      </c>
      <c r="E61" s="112"/>
      <c r="F61" s="110">
        <f t="shared" si="2"/>
        <v>0</v>
      </c>
      <c r="G61" s="112"/>
      <c r="H61" s="111"/>
      <c r="I61" s="111"/>
      <c r="J61" s="113">
        <f t="shared" si="1"/>
        <v>0</v>
      </c>
    </row>
    <row r="62" spans="1:10" s="138" customFormat="1" ht="15" customHeight="1" hidden="1" outlineLevel="3">
      <c r="A62" s="136" t="s">
        <v>400</v>
      </c>
      <c r="B62" s="137" t="s">
        <v>389</v>
      </c>
      <c r="C62" s="137">
        <v>450</v>
      </c>
      <c r="D62" s="137">
        <v>12</v>
      </c>
      <c r="E62" s="112"/>
      <c r="F62" s="110">
        <f t="shared" si="2"/>
        <v>0</v>
      </c>
      <c r="G62" s="112"/>
      <c r="H62" s="111"/>
      <c r="I62" s="111"/>
      <c r="J62" s="113">
        <f t="shared" si="1"/>
        <v>0</v>
      </c>
    </row>
    <row r="63" spans="1:10" s="138" customFormat="1" ht="15" customHeight="1" hidden="1" outlineLevel="3">
      <c r="A63" s="136" t="s">
        <v>401</v>
      </c>
      <c r="B63" s="137" t="s">
        <v>389</v>
      </c>
      <c r="C63" s="137">
        <v>540</v>
      </c>
      <c r="D63" s="137">
        <v>12</v>
      </c>
      <c r="E63" s="112"/>
      <c r="F63" s="110">
        <f t="shared" si="2"/>
        <v>0</v>
      </c>
      <c r="G63" s="112"/>
      <c r="H63" s="111"/>
      <c r="I63" s="111"/>
      <c r="J63" s="113">
        <f t="shared" si="1"/>
        <v>0</v>
      </c>
    </row>
    <row r="64" spans="1:10" s="138" customFormat="1" ht="15" customHeight="1" hidden="1" outlineLevel="3">
      <c r="A64" s="136" t="s">
        <v>402</v>
      </c>
      <c r="B64" s="137" t="s">
        <v>389</v>
      </c>
      <c r="C64" s="137">
        <v>530</v>
      </c>
      <c r="D64" s="137">
        <v>12</v>
      </c>
      <c r="E64" s="112"/>
      <c r="F64" s="110">
        <f t="shared" si="2"/>
        <v>0</v>
      </c>
      <c r="G64" s="112"/>
      <c r="H64" s="111"/>
      <c r="I64" s="111"/>
      <c r="J64" s="113">
        <f t="shared" si="1"/>
        <v>0</v>
      </c>
    </row>
    <row r="65" spans="1:10" s="138" customFormat="1" ht="15" customHeight="1" hidden="1" outlineLevel="3">
      <c r="A65" s="136" t="s">
        <v>403</v>
      </c>
      <c r="B65" s="137" t="s">
        <v>389</v>
      </c>
      <c r="C65" s="137">
        <v>510</v>
      </c>
      <c r="D65" s="137">
        <v>12</v>
      </c>
      <c r="E65" s="112"/>
      <c r="F65" s="110">
        <f t="shared" si="2"/>
        <v>0</v>
      </c>
      <c r="G65" s="112"/>
      <c r="H65" s="111"/>
      <c r="I65" s="111"/>
      <c r="J65" s="113">
        <f t="shared" si="1"/>
        <v>0</v>
      </c>
    </row>
    <row r="66" spans="1:10" s="138" customFormat="1" ht="15" customHeight="1" hidden="1" outlineLevel="3">
      <c r="A66" s="136" t="s">
        <v>404</v>
      </c>
      <c r="B66" s="137" t="s">
        <v>389</v>
      </c>
      <c r="C66" s="137">
        <v>480</v>
      </c>
      <c r="D66" s="137">
        <v>12</v>
      </c>
      <c r="E66" s="112"/>
      <c r="F66" s="110">
        <f t="shared" si="2"/>
        <v>0</v>
      </c>
      <c r="G66" s="112"/>
      <c r="H66" s="111"/>
      <c r="I66" s="111"/>
      <c r="J66" s="113">
        <f t="shared" si="1"/>
        <v>0</v>
      </c>
    </row>
    <row r="67" spans="1:10" s="138" customFormat="1" ht="15" customHeight="1" hidden="1" outlineLevel="3">
      <c r="A67" s="136" t="s">
        <v>405</v>
      </c>
      <c r="B67" s="137" t="s">
        <v>389</v>
      </c>
      <c r="C67" s="137">
        <v>470</v>
      </c>
      <c r="D67" s="137">
        <v>12</v>
      </c>
      <c r="E67" s="112"/>
      <c r="F67" s="110">
        <f t="shared" si="2"/>
        <v>0</v>
      </c>
      <c r="G67" s="112"/>
      <c r="H67" s="111"/>
      <c r="I67" s="111"/>
      <c r="J67" s="113">
        <f t="shared" si="1"/>
        <v>0</v>
      </c>
    </row>
    <row r="68" spans="1:10" s="138" customFormat="1" ht="15" customHeight="1" hidden="1" outlineLevel="3">
      <c r="A68" s="136" t="s">
        <v>406</v>
      </c>
      <c r="B68" s="137" t="s">
        <v>389</v>
      </c>
      <c r="C68" s="137">
        <v>440</v>
      </c>
      <c r="D68" s="137">
        <v>12</v>
      </c>
      <c r="E68" s="112"/>
      <c r="F68" s="110">
        <f t="shared" si="2"/>
        <v>0</v>
      </c>
      <c r="G68" s="112"/>
      <c r="H68" s="111"/>
      <c r="I68" s="111"/>
      <c r="J68" s="113">
        <f t="shared" si="1"/>
        <v>0</v>
      </c>
    </row>
    <row r="69" spans="1:10" s="138" customFormat="1" ht="15" customHeight="1" hidden="1" outlineLevel="3">
      <c r="A69" s="136" t="s">
        <v>407</v>
      </c>
      <c r="B69" s="137" t="s">
        <v>389</v>
      </c>
      <c r="C69" s="137">
        <v>510</v>
      </c>
      <c r="D69" s="137">
        <v>12</v>
      </c>
      <c r="E69" s="112"/>
      <c r="F69" s="110">
        <f t="shared" si="2"/>
        <v>0</v>
      </c>
      <c r="G69" s="112"/>
      <c r="H69" s="111"/>
      <c r="I69" s="111"/>
      <c r="J69" s="113">
        <f t="shared" si="1"/>
        <v>0</v>
      </c>
    </row>
    <row r="70" spans="1:10" s="138" customFormat="1" ht="15" customHeight="1" hidden="1" outlineLevel="3">
      <c r="A70" s="136" t="s">
        <v>408</v>
      </c>
      <c r="B70" s="137" t="s">
        <v>389</v>
      </c>
      <c r="C70" s="137">
        <v>490</v>
      </c>
      <c r="D70" s="137">
        <v>12</v>
      </c>
      <c r="E70" s="112"/>
      <c r="F70" s="110">
        <f t="shared" si="2"/>
        <v>0</v>
      </c>
      <c r="G70" s="112"/>
      <c r="H70" s="111"/>
      <c r="I70" s="111"/>
      <c r="J70" s="113">
        <f t="shared" si="1"/>
        <v>0</v>
      </c>
    </row>
    <row r="71" spans="1:10" s="138" customFormat="1" ht="15" customHeight="1" hidden="1" outlineLevel="3">
      <c r="A71" s="136" t="s">
        <v>409</v>
      </c>
      <c r="B71" s="137" t="s">
        <v>389</v>
      </c>
      <c r="C71" s="137">
        <v>470</v>
      </c>
      <c r="D71" s="137">
        <v>12</v>
      </c>
      <c r="E71" s="112"/>
      <c r="F71" s="110">
        <f t="shared" si="2"/>
        <v>0</v>
      </c>
      <c r="G71" s="112"/>
      <c r="H71" s="111"/>
      <c r="I71" s="111"/>
      <c r="J71" s="113">
        <f t="shared" si="1"/>
        <v>0</v>
      </c>
    </row>
    <row r="72" spans="1:10" s="138" customFormat="1" ht="15" customHeight="1" hidden="1" outlineLevel="3">
      <c r="A72" s="136" t="s">
        <v>410</v>
      </c>
      <c r="B72" s="137" t="s">
        <v>389</v>
      </c>
      <c r="C72" s="137">
        <v>540</v>
      </c>
      <c r="D72" s="137">
        <v>12</v>
      </c>
      <c r="E72" s="112"/>
      <c r="F72" s="110">
        <f t="shared" si="2"/>
        <v>0</v>
      </c>
      <c r="G72" s="112"/>
      <c r="H72" s="111"/>
      <c r="I72" s="111"/>
      <c r="J72" s="113">
        <f t="shared" si="1"/>
        <v>0</v>
      </c>
    </row>
    <row r="73" spans="1:10" s="138" customFormat="1" ht="15" customHeight="1" hidden="1" outlineLevel="3">
      <c r="A73" s="136" t="s">
        <v>411</v>
      </c>
      <c r="B73" s="137" t="s">
        <v>389</v>
      </c>
      <c r="C73" s="137">
        <v>530</v>
      </c>
      <c r="D73" s="137">
        <v>12</v>
      </c>
      <c r="E73" s="112"/>
      <c r="F73" s="110">
        <f t="shared" si="2"/>
        <v>0</v>
      </c>
      <c r="G73" s="112"/>
      <c r="H73" s="111"/>
      <c r="I73" s="111"/>
      <c r="J73" s="113">
        <f t="shared" si="1"/>
        <v>0</v>
      </c>
    </row>
    <row r="74" spans="1:10" s="138" customFormat="1" ht="15" customHeight="1" hidden="1" outlineLevel="3">
      <c r="A74" s="136" t="s">
        <v>412</v>
      </c>
      <c r="B74" s="137" t="s">
        <v>389</v>
      </c>
      <c r="C74" s="137">
        <v>510</v>
      </c>
      <c r="D74" s="137">
        <v>12</v>
      </c>
      <c r="E74" s="112"/>
      <c r="F74" s="110">
        <f t="shared" si="2"/>
        <v>0</v>
      </c>
      <c r="G74" s="112"/>
      <c r="H74" s="111"/>
      <c r="I74" s="111"/>
      <c r="J74" s="113">
        <f t="shared" si="1"/>
        <v>0</v>
      </c>
    </row>
    <row r="75" spans="1:10" s="138" customFormat="1" ht="15" customHeight="1" hidden="1" outlineLevel="3">
      <c r="A75" s="136" t="s">
        <v>413</v>
      </c>
      <c r="B75" s="137" t="s">
        <v>389</v>
      </c>
      <c r="C75" s="137">
        <v>470</v>
      </c>
      <c r="D75" s="137">
        <v>12</v>
      </c>
      <c r="E75" s="112"/>
      <c r="F75" s="110">
        <f t="shared" si="2"/>
        <v>0</v>
      </c>
      <c r="G75" s="112"/>
      <c r="H75" s="111"/>
      <c r="I75" s="111"/>
      <c r="J75" s="113">
        <f aca="true" t="shared" si="3" ref="J75:J106">I75/$E$8</f>
        <v>0</v>
      </c>
    </row>
    <row r="76" spans="1:10" s="138" customFormat="1" ht="15" customHeight="1" hidden="1" outlineLevel="3">
      <c r="A76" s="136" t="s">
        <v>414</v>
      </c>
      <c r="B76" s="137" t="s">
        <v>389</v>
      </c>
      <c r="C76" s="137">
        <v>460</v>
      </c>
      <c r="D76" s="137">
        <v>12</v>
      </c>
      <c r="E76" s="112"/>
      <c r="F76" s="110">
        <f t="shared" si="2"/>
        <v>0</v>
      </c>
      <c r="G76" s="112"/>
      <c r="H76" s="111"/>
      <c r="I76" s="111"/>
      <c r="J76" s="113">
        <f t="shared" si="3"/>
        <v>0</v>
      </c>
    </row>
    <row r="77" spans="1:10" s="138" customFormat="1" ht="15" customHeight="1" hidden="1" outlineLevel="3">
      <c r="A77" s="136" t="s">
        <v>415</v>
      </c>
      <c r="B77" s="137" t="s">
        <v>389</v>
      </c>
      <c r="C77" s="137">
        <v>450</v>
      </c>
      <c r="D77" s="137">
        <v>12</v>
      </c>
      <c r="E77" s="112"/>
      <c r="F77" s="110">
        <f t="shared" si="2"/>
        <v>0</v>
      </c>
      <c r="G77" s="112"/>
      <c r="H77" s="111"/>
      <c r="I77" s="111"/>
      <c r="J77" s="113">
        <f t="shared" si="3"/>
        <v>0</v>
      </c>
    </row>
    <row r="78" spans="1:10" s="138" customFormat="1" ht="15" customHeight="1" hidden="1" outlineLevel="3">
      <c r="A78" s="136" t="s">
        <v>416</v>
      </c>
      <c r="B78" s="137" t="s">
        <v>389</v>
      </c>
      <c r="C78" s="137">
        <v>560</v>
      </c>
      <c r="D78" s="137">
        <v>12</v>
      </c>
      <c r="E78" s="112"/>
      <c r="F78" s="110">
        <f t="shared" si="2"/>
        <v>0</v>
      </c>
      <c r="G78" s="112"/>
      <c r="H78" s="111"/>
      <c r="I78" s="111"/>
      <c r="J78" s="113">
        <f t="shared" si="3"/>
        <v>0</v>
      </c>
    </row>
    <row r="79" spans="1:10" s="138" customFormat="1" ht="15" customHeight="1" hidden="1" outlineLevel="3">
      <c r="A79" s="136" t="s">
        <v>417</v>
      </c>
      <c r="B79" s="137" t="s">
        <v>389</v>
      </c>
      <c r="C79" s="137">
        <v>540</v>
      </c>
      <c r="D79" s="137">
        <v>12</v>
      </c>
      <c r="E79" s="112"/>
      <c r="F79" s="110">
        <f t="shared" si="2"/>
        <v>0</v>
      </c>
      <c r="G79" s="112"/>
      <c r="H79" s="111"/>
      <c r="I79" s="111"/>
      <c r="J79" s="113">
        <f t="shared" si="3"/>
        <v>0</v>
      </c>
    </row>
    <row r="80" spans="1:10" s="138" customFormat="1" ht="15" customHeight="1" hidden="1" outlineLevel="3">
      <c r="A80" s="136" t="s">
        <v>418</v>
      </c>
      <c r="B80" s="137" t="s">
        <v>389</v>
      </c>
      <c r="C80" s="137">
        <v>520</v>
      </c>
      <c r="D80" s="137">
        <v>12</v>
      </c>
      <c r="E80" s="112"/>
      <c r="F80" s="110">
        <f t="shared" si="2"/>
        <v>0</v>
      </c>
      <c r="G80" s="112"/>
      <c r="H80" s="111"/>
      <c r="I80" s="111"/>
      <c r="J80" s="113">
        <f t="shared" si="3"/>
        <v>0</v>
      </c>
    </row>
    <row r="81" spans="1:10" s="138" customFormat="1" ht="15" customHeight="1" hidden="1" outlineLevel="3">
      <c r="A81" s="136" t="s">
        <v>419</v>
      </c>
      <c r="B81" s="137" t="s">
        <v>389</v>
      </c>
      <c r="C81" s="137">
        <v>580</v>
      </c>
      <c r="D81" s="137">
        <v>12</v>
      </c>
      <c r="E81" s="112"/>
      <c r="F81" s="110">
        <f t="shared" si="2"/>
        <v>0</v>
      </c>
      <c r="G81" s="112"/>
      <c r="H81" s="111"/>
      <c r="I81" s="111"/>
      <c r="J81" s="113">
        <f t="shared" si="3"/>
        <v>0</v>
      </c>
    </row>
    <row r="82" spans="1:10" s="138" customFormat="1" ht="15" customHeight="1" hidden="1" outlineLevel="3">
      <c r="A82" s="136" t="s">
        <v>420</v>
      </c>
      <c r="B82" s="137" t="s">
        <v>389</v>
      </c>
      <c r="C82" s="137">
        <v>580</v>
      </c>
      <c r="D82" s="137">
        <v>12</v>
      </c>
      <c r="E82" s="112"/>
      <c r="F82" s="110">
        <f t="shared" si="2"/>
        <v>0</v>
      </c>
      <c r="G82" s="112"/>
      <c r="H82" s="111"/>
      <c r="I82" s="111"/>
      <c r="J82" s="113">
        <f t="shared" si="3"/>
        <v>0</v>
      </c>
    </row>
    <row r="83" spans="1:10" s="138" customFormat="1" ht="15" customHeight="1" hidden="1" outlineLevel="3">
      <c r="A83" s="136" t="s">
        <v>421</v>
      </c>
      <c r="B83" s="137" t="s">
        <v>389</v>
      </c>
      <c r="C83" s="137">
        <v>560</v>
      </c>
      <c r="D83" s="137">
        <v>12</v>
      </c>
      <c r="E83" s="112"/>
      <c r="F83" s="110">
        <f t="shared" si="2"/>
        <v>0</v>
      </c>
      <c r="G83" s="112"/>
      <c r="H83" s="111"/>
      <c r="I83" s="111"/>
      <c r="J83" s="113">
        <f t="shared" si="3"/>
        <v>0</v>
      </c>
    </row>
    <row r="84" spans="1:10" s="138" customFormat="1" ht="15" customHeight="1" hidden="1" outlineLevel="3">
      <c r="A84" s="136" t="s">
        <v>422</v>
      </c>
      <c r="B84" s="137" t="s">
        <v>389</v>
      </c>
      <c r="C84" s="137">
        <v>510</v>
      </c>
      <c r="D84" s="137">
        <v>12</v>
      </c>
      <c r="E84" s="112"/>
      <c r="F84" s="110">
        <f t="shared" si="2"/>
        <v>0</v>
      </c>
      <c r="G84" s="112"/>
      <c r="H84" s="111"/>
      <c r="I84" s="111"/>
      <c r="J84" s="113">
        <f t="shared" si="3"/>
        <v>0</v>
      </c>
    </row>
    <row r="85" spans="1:10" s="138" customFormat="1" ht="15" customHeight="1" hidden="1" outlineLevel="3">
      <c r="A85" s="136" t="s">
        <v>423</v>
      </c>
      <c r="B85" s="137" t="s">
        <v>389</v>
      </c>
      <c r="C85" s="137">
        <v>510</v>
      </c>
      <c r="D85" s="137">
        <v>12</v>
      </c>
      <c r="E85" s="112"/>
      <c r="F85" s="110">
        <f t="shared" si="2"/>
        <v>0</v>
      </c>
      <c r="G85" s="112"/>
      <c r="H85" s="111"/>
      <c r="I85" s="111"/>
      <c r="J85" s="113">
        <f t="shared" si="3"/>
        <v>0</v>
      </c>
    </row>
    <row r="86" spans="1:10" s="138" customFormat="1" ht="15" customHeight="1" hidden="1" outlineLevel="3">
      <c r="A86" s="136" t="s">
        <v>424</v>
      </c>
      <c r="B86" s="137" t="s">
        <v>389</v>
      </c>
      <c r="C86" s="137">
        <v>490</v>
      </c>
      <c r="D86" s="137">
        <v>12</v>
      </c>
      <c r="E86" s="112"/>
      <c r="F86" s="110">
        <f t="shared" si="2"/>
        <v>0</v>
      </c>
      <c r="G86" s="112"/>
      <c r="H86" s="111"/>
      <c r="I86" s="111"/>
      <c r="J86" s="113">
        <f t="shared" si="3"/>
        <v>0</v>
      </c>
    </row>
    <row r="87" spans="1:10" s="138" customFormat="1" ht="15" customHeight="1" hidden="1" outlineLevel="3">
      <c r="A87" s="136" t="s">
        <v>425</v>
      </c>
      <c r="B87" s="137" t="s">
        <v>389</v>
      </c>
      <c r="C87" s="137">
        <v>610</v>
      </c>
      <c r="D87" s="137">
        <v>12</v>
      </c>
      <c r="E87" s="112"/>
      <c r="F87" s="110">
        <f t="shared" si="2"/>
        <v>0</v>
      </c>
      <c r="G87" s="112"/>
      <c r="H87" s="111"/>
      <c r="I87" s="111"/>
      <c r="J87" s="113">
        <f t="shared" si="3"/>
        <v>0</v>
      </c>
    </row>
    <row r="88" spans="1:10" s="138" customFormat="1" ht="15" customHeight="1" hidden="1" outlineLevel="3">
      <c r="A88" s="136" t="s">
        <v>426</v>
      </c>
      <c r="B88" s="137" t="s">
        <v>389</v>
      </c>
      <c r="C88" s="137">
        <v>490</v>
      </c>
      <c r="D88" s="137">
        <v>12</v>
      </c>
      <c r="E88" s="112"/>
      <c r="F88" s="110">
        <f t="shared" si="2"/>
        <v>0</v>
      </c>
      <c r="G88" s="112"/>
      <c r="H88" s="111"/>
      <c r="I88" s="111"/>
      <c r="J88" s="113">
        <f t="shared" si="3"/>
        <v>0</v>
      </c>
    </row>
    <row r="89" spans="1:10" s="138" customFormat="1" ht="15" customHeight="1" hidden="1" outlineLevel="3">
      <c r="A89" s="136" t="s">
        <v>427</v>
      </c>
      <c r="B89" s="137" t="s">
        <v>389</v>
      </c>
      <c r="C89" s="137">
        <v>470</v>
      </c>
      <c r="D89" s="137">
        <v>12</v>
      </c>
      <c r="E89" s="112"/>
      <c r="F89" s="110">
        <f t="shared" si="2"/>
        <v>0</v>
      </c>
      <c r="G89" s="112"/>
      <c r="H89" s="111"/>
      <c r="I89" s="111"/>
      <c r="J89" s="113">
        <f t="shared" si="3"/>
        <v>0</v>
      </c>
    </row>
    <row r="90" spans="1:10" s="138" customFormat="1" ht="15" customHeight="1" hidden="1" outlineLevel="3">
      <c r="A90" s="136" t="s">
        <v>428</v>
      </c>
      <c r="B90" s="137" t="s">
        <v>389</v>
      </c>
      <c r="C90" s="137">
        <v>640</v>
      </c>
      <c r="D90" s="137">
        <v>12</v>
      </c>
      <c r="E90" s="112"/>
      <c r="F90" s="110">
        <f t="shared" si="2"/>
        <v>0</v>
      </c>
      <c r="G90" s="112"/>
      <c r="H90" s="111"/>
      <c r="I90" s="111"/>
      <c r="J90" s="113">
        <f t="shared" si="3"/>
        <v>0</v>
      </c>
    </row>
    <row r="91" spans="1:10" s="138" customFormat="1" ht="15" customHeight="1" hidden="1" outlineLevel="3">
      <c r="A91" s="136" t="s">
        <v>429</v>
      </c>
      <c r="B91" s="137" t="s">
        <v>389</v>
      </c>
      <c r="C91" s="137">
        <v>630</v>
      </c>
      <c r="D91" s="137">
        <v>12</v>
      </c>
      <c r="E91" s="112"/>
      <c r="F91" s="110">
        <f t="shared" si="2"/>
        <v>0</v>
      </c>
      <c r="G91" s="112"/>
      <c r="H91" s="111"/>
      <c r="I91" s="111"/>
      <c r="J91" s="113">
        <f t="shared" si="3"/>
        <v>0</v>
      </c>
    </row>
    <row r="92" spans="1:10" s="138" customFormat="1" ht="15" customHeight="1" hidden="1" outlineLevel="3">
      <c r="A92" s="136" t="s">
        <v>430</v>
      </c>
      <c r="B92" s="137" t="s">
        <v>389</v>
      </c>
      <c r="C92" s="137">
        <v>610</v>
      </c>
      <c r="D92" s="137">
        <v>12</v>
      </c>
      <c r="E92" s="112"/>
      <c r="F92" s="110">
        <f t="shared" si="2"/>
        <v>0</v>
      </c>
      <c r="G92" s="112"/>
      <c r="H92" s="111"/>
      <c r="I92" s="111"/>
      <c r="J92" s="113">
        <f t="shared" si="3"/>
        <v>0</v>
      </c>
    </row>
    <row r="93" spans="1:10" s="138" customFormat="1" ht="15" customHeight="1" hidden="1" outlineLevel="3">
      <c r="A93" s="136" t="s">
        <v>431</v>
      </c>
      <c r="B93" s="137" t="s">
        <v>389</v>
      </c>
      <c r="C93" s="137">
        <v>570</v>
      </c>
      <c r="D93" s="137">
        <v>12</v>
      </c>
      <c r="E93" s="112"/>
      <c r="F93" s="110">
        <f t="shared" si="2"/>
        <v>0</v>
      </c>
      <c r="G93" s="112"/>
      <c r="H93" s="111"/>
      <c r="I93" s="111"/>
      <c r="J93" s="113">
        <f t="shared" si="3"/>
        <v>0</v>
      </c>
    </row>
    <row r="94" spans="1:10" s="138" customFormat="1" ht="15" customHeight="1" hidden="1" outlineLevel="3">
      <c r="A94" s="136" t="s">
        <v>432</v>
      </c>
      <c r="B94" s="137" t="s">
        <v>389</v>
      </c>
      <c r="C94" s="137">
        <v>560</v>
      </c>
      <c r="D94" s="137">
        <v>12</v>
      </c>
      <c r="E94" s="112"/>
      <c r="F94" s="110">
        <f t="shared" si="2"/>
        <v>0</v>
      </c>
      <c r="G94" s="112"/>
      <c r="H94" s="111"/>
      <c r="I94" s="111"/>
      <c r="J94" s="113">
        <f t="shared" si="3"/>
        <v>0</v>
      </c>
    </row>
    <row r="95" spans="1:10" s="138" customFormat="1" ht="15" customHeight="1" hidden="1" outlineLevel="3">
      <c r="A95" s="136" t="s">
        <v>433</v>
      </c>
      <c r="B95" s="137" t="s">
        <v>389</v>
      </c>
      <c r="C95" s="137">
        <v>540</v>
      </c>
      <c r="D95" s="137">
        <v>12</v>
      </c>
      <c r="E95" s="112"/>
      <c r="F95" s="110">
        <f t="shared" si="2"/>
        <v>0</v>
      </c>
      <c r="G95" s="112"/>
      <c r="H95" s="111"/>
      <c r="I95" s="111"/>
      <c r="J95" s="113">
        <f t="shared" si="3"/>
        <v>0</v>
      </c>
    </row>
    <row r="96" spans="1:10" s="138" customFormat="1" ht="15" customHeight="1" hidden="1" outlineLevel="3">
      <c r="A96" s="136" t="s">
        <v>434</v>
      </c>
      <c r="B96" s="137" t="s">
        <v>389</v>
      </c>
      <c r="C96" s="137">
        <v>460</v>
      </c>
      <c r="D96" s="137">
        <v>12</v>
      </c>
      <c r="E96" s="112"/>
      <c r="F96" s="110">
        <f t="shared" si="2"/>
        <v>0</v>
      </c>
      <c r="G96" s="112"/>
      <c r="H96" s="111"/>
      <c r="I96" s="111"/>
      <c r="J96" s="113">
        <f t="shared" si="3"/>
        <v>0</v>
      </c>
    </row>
    <row r="97" spans="1:10" s="138" customFormat="1" ht="15" customHeight="1" hidden="1" outlineLevel="3">
      <c r="A97" s="136" t="s">
        <v>435</v>
      </c>
      <c r="B97" s="137" t="s">
        <v>389</v>
      </c>
      <c r="C97" s="137">
        <v>440</v>
      </c>
      <c r="D97" s="137">
        <v>12</v>
      </c>
      <c r="E97" s="112"/>
      <c r="F97" s="110">
        <f t="shared" si="2"/>
        <v>0</v>
      </c>
      <c r="G97" s="112"/>
      <c r="H97" s="111"/>
      <c r="I97" s="111"/>
      <c r="J97" s="113">
        <f t="shared" si="3"/>
        <v>0</v>
      </c>
    </row>
    <row r="98" spans="1:10" s="138" customFormat="1" ht="15" customHeight="1" hidden="1" outlineLevel="3">
      <c r="A98" s="136" t="s">
        <v>436</v>
      </c>
      <c r="B98" s="137" t="s">
        <v>389</v>
      </c>
      <c r="C98" s="137">
        <v>430</v>
      </c>
      <c r="D98" s="137">
        <v>12</v>
      </c>
      <c r="E98" s="112"/>
      <c r="F98" s="110">
        <f t="shared" si="2"/>
        <v>0</v>
      </c>
      <c r="G98" s="112"/>
      <c r="H98" s="111"/>
      <c r="I98" s="111"/>
      <c r="J98" s="113">
        <f t="shared" si="3"/>
        <v>0</v>
      </c>
    </row>
    <row r="99" spans="1:10" s="138" customFormat="1" ht="15" customHeight="1" hidden="1" outlineLevel="3">
      <c r="A99" s="136" t="s">
        <v>437</v>
      </c>
      <c r="B99" s="137" t="s">
        <v>389</v>
      </c>
      <c r="C99" s="112">
        <v>480</v>
      </c>
      <c r="D99" s="137">
        <v>12</v>
      </c>
      <c r="E99" s="112"/>
      <c r="F99" s="110">
        <f t="shared" si="2"/>
        <v>0</v>
      </c>
      <c r="G99" s="112"/>
      <c r="H99" s="111"/>
      <c r="I99" s="111"/>
      <c r="J99" s="113">
        <f t="shared" si="3"/>
        <v>0</v>
      </c>
    </row>
    <row r="100" spans="1:10" s="138" customFormat="1" ht="15" customHeight="1" hidden="1" outlineLevel="3">
      <c r="A100" s="136" t="s">
        <v>438</v>
      </c>
      <c r="B100" s="137" t="s">
        <v>389</v>
      </c>
      <c r="C100" s="112">
        <v>470</v>
      </c>
      <c r="D100" s="137">
        <v>12</v>
      </c>
      <c r="E100" s="112"/>
      <c r="F100" s="110">
        <f t="shared" si="2"/>
        <v>0</v>
      </c>
      <c r="G100" s="112"/>
      <c r="H100" s="111"/>
      <c r="I100" s="111"/>
      <c r="J100" s="113">
        <f t="shared" si="3"/>
        <v>0</v>
      </c>
    </row>
    <row r="101" spans="1:10" s="138" customFormat="1" ht="15" customHeight="1" hidden="1" outlineLevel="3">
      <c r="A101" s="136" t="s">
        <v>439</v>
      </c>
      <c r="B101" s="137" t="s">
        <v>389</v>
      </c>
      <c r="C101" s="112">
        <v>460</v>
      </c>
      <c r="D101" s="137">
        <v>12</v>
      </c>
      <c r="E101" s="112"/>
      <c r="F101" s="110">
        <f t="shared" si="2"/>
        <v>0</v>
      </c>
      <c r="G101" s="112"/>
      <c r="H101" s="111"/>
      <c r="I101" s="111"/>
      <c r="J101" s="113">
        <f t="shared" si="3"/>
        <v>0</v>
      </c>
    </row>
    <row r="102" spans="1:10" s="138" customFormat="1" ht="15" customHeight="1" hidden="1" outlineLevel="3">
      <c r="A102" s="136" t="s">
        <v>440</v>
      </c>
      <c r="B102" s="137" t="s">
        <v>389</v>
      </c>
      <c r="C102" s="112">
        <v>380</v>
      </c>
      <c r="D102" s="137">
        <v>12</v>
      </c>
      <c r="E102" s="112"/>
      <c r="F102" s="110">
        <f t="shared" si="2"/>
        <v>0</v>
      </c>
      <c r="G102" s="112"/>
      <c r="H102" s="111"/>
      <c r="I102" s="111"/>
      <c r="J102" s="113">
        <f t="shared" si="3"/>
        <v>0</v>
      </c>
    </row>
    <row r="103" spans="1:10" s="138" customFormat="1" ht="15" customHeight="1" hidden="1" outlineLevel="3">
      <c r="A103" s="136" t="s">
        <v>441</v>
      </c>
      <c r="B103" s="137" t="s">
        <v>389</v>
      </c>
      <c r="C103" s="112">
        <v>370</v>
      </c>
      <c r="D103" s="137">
        <v>12</v>
      </c>
      <c r="E103" s="112"/>
      <c r="F103" s="110">
        <f t="shared" si="2"/>
        <v>0</v>
      </c>
      <c r="G103" s="112"/>
      <c r="H103" s="111"/>
      <c r="I103" s="111"/>
      <c r="J103" s="113">
        <f t="shared" si="3"/>
        <v>0</v>
      </c>
    </row>
    <row r="104" spans="1:10" s="138" customFormat="1" ht="15" customHeight="1" hidden="1" outlineLevel="3">
      <c r="A104" s="136" t="s">
        <v>442</v>
      </c>
      <c r="B104" s="137" t="s">
        <v>389</v>
      </c>
      <c r="C104" s="112">
        <v>360</v>
      </c>
      <c r="D104" s="137">
        <v>12</v>
      </c>
      <c r="E104" s="112"/>
      <c r="F104" s="110">
        <f t="shared" si="2"/>
        <v>0</v>
      </c>
      <c r="G104" s="112"/>
      <c r="H104" s="111"/>
      <c r="I104" s="111"/>
      <c r="J104" s="113">
        <f t="shared" si="3"/>
        <v>0</v>
      </c>
    </row>
    <row r="105" spans="1:10" s="138" customFormat="1" ht="15" customHeight="1" hidden="1" outlineLevel="3">
      <c r="A105" s="136" t="s">
        <v>443</v>
      </c>
      <c r="B105" s="137" t="s">
        <v>389</v>
      </c>
      <c r="C105" s="112">
        <v>510</v>
      </c>
      <c r="D105" s="137">
        <v>12</v>
      </c>
      <c r="E105" s="112"/>
      <c r="F105" s="110">
        <f t="shared" si="2"/>
        <v>0</v>
      </c>
      <c r="G105" s="112"/>
      <c r="H105" s="111"/>
      <c r="I105" s="111"/>
      <c r="J105" s="113">
        <f t="shared" si="3"/>
        <v>0</v>
      </c>
    </row>
    <row r="106" spans="1:10" s="138" customFormat="1" ht="15" customHeight="1" hidden="1" outlineLevel="3">
      <c r="A106" s="136" t="s">
        <v>444</v>
      </c>
      <c r="B106" s="137" t="s">
        <v>389</v>
      </c>
      <c r="C106" s="112">
        <v>490</v>
      </c>
      <c r="D106" s="137">
        <v>12</v>
      </c>
      <c r="E106" s="112"/>
      <c r="F106" s="110">
        <f t="shared" si="2"/>
        <v>0</v>
      </c>
      <c r="G106" s="112"/>
      <c r="H106" s="111"/>
      <c r="I106" s="111"/>
      <c r="J106" s="113">
        <f t="shared" si="3"/>
        <v>0</v>
      </c>
    </row>
    <row r="107" spans="1:10" s="138" customFormat="1" ht="15" customHeight="1" hidden="1" outlineLevel="3">
      <c r="A107" s="136" t="s">
        <v>445</v>
      </c>
      <c r="B107" s="137" t="s">
        <v>389</v>
      </c>
      <c r="C107" s="112">
        <v>470</v>
      </c>
      <c r="D107" s="137">
        <v>12</v>
      </c>
      <c r="E107" s="112"/>
      <c r="F107" s="110">
        <f t="shared" si="2"/>
        <v>0</v>
      </c>
      <c r="G107" s="112"/>
      <c r="H107" s="111"/>
      <c r="I107" s="111"/>
      <c r="J107" s="113">
        <f aca="true" t="shared" si="4" ref="J107:J138">I107/$E$8</f>
        <v>0</v>
      </c>
    </row>
    <row r="108" spans="1:10" s="138" customFormat="1" ht="15" customHeight="1" hidden="1" outlineLevel="3">
      <c r="A108" s="136" t="s">
        <v>446</v>
      </c>
      <c r="B108" s="137" t="s">
        <v>389</v>
      </c>
      <c r="C108" s="112">
        <v>560</v>
      </c>
      <c r="D108" s="137">
        <v>12</v>
      </c>
      <c r="E108" s="112"/>
      <c r="F108" s="110">
        <f t="shared" si="2"/>
        <v>0</v>
      </c>
      <c r="G108" s="112"/>
      <c r="H108" s="111"/>
      <c r="I108" s="111"/>
      <c r="J108" s="113">
        <f t="shared" si="4"/>
        <v>0</v>
      </c>
    </row>
    <row r="109" spans="1:10" s="138" customFormat="1" ht="15" customHeight="1" hidden="1" outlineLevel="3">
      <c r="A109" s="136" t="s">
        <v>447</v>
      </c>
      <c r="B109" s="137" t="s">
        <v>389</v>
      </c>
      <c r="C109" s="112">
        <v>550</v>
      </c>
      <c r="D109" s="137">
        <v>12</v>
      </c>
      <c r="E109" s="112"/>
      <c r="F109" s="110">
        <f t="shared" si="2"/>
        <v>0</v>
      </c>
      <c r="G109" s="112"/>
      <c r="H109" s="111"/>
      <c r="I109" s="111"/>
      <c r="J109" s="113">
        <f t="shared" si="4"/>
        <v>0</v>
      </c>
    </row>
    <row r="110" spans="1:10" s="138" customFormat="1" ht="15" customHeight="1" hidden="1" outlineLevel="3">
      <c r="A110" s="136" t="s">
        <v>448</v>
      </c>
      <c r="B110" s="137" t="s">
        <v>389</v>
      </c>
      <c r="C110" s="112">
        <v>530</v>
      </c>
      <c r="D110" s="137">
        <v>12</v>
      </c>
      <c r="E110" s="112"/>
      <c r="F110" s="110">
        <f t="shared" si="2"/>
        <v>0</v>
      </c>
      <c r="G110" s="112"/>
      <c r="H110" s="111"/>
      <c r="I110" s="111"/>
      <c r="J110" s="113">
        <f t="shared" si="4"/>
        <v>0</v>
      </c>
    </row>
    <row r="111" spans="1:10" s="138" customFormat="1" ht="15" customHeight="1" hidden="1" outlineLevel="3">
      <c r="A111" s="136" t="s">
        <v>449</v>
      </c>
      <c r="B111" s="137" t="s">
        <v>389</v>
      </c>
      <c r="C111" s="112">
        <v>500</v>
      </c>
      <c r="D111" s="137">
        <v>12</v>
      </c>
      <c r="E111" s="112"/>
      <c r="F111" s="110">
        <f t="shared" si="2"/>
        <v>0</v>
      </c>
      <c r="G111" s="112"/>
      <c r="H111" s="111"/>
      <c r="I111" s="111"/>
      <c r="J111" s="113">
        <f t="shared" si="4"/>
        <v>0</v>
      </c>
    </row>
    <row r="112" spans="1:10" s="138" customFormat="1" ht="15" customHeight="1" hidden="1" outlineLevel="3">
      <c r="A112" s="136" t="s">
        <v>450</v>
      </c>
      <c r="B112" s="137" t="s">
        <v>389</v>
      </c>
      <c r="C112" s="112">
        <v>490</v>
      </c>
      <c r="D112" s="137">
        <v>12</v>
      </c>
      <c r="E112" s="112"/>
      <c r="F112" s="110">
        <f t="shared" si="2"/>
        <v>0</v>
      </c>
      <c r="G112" s="112"/>
      <c r="H112" s="111"/>
      <c r="I112" s="111"/>
      <c r="J112" s="113">
        <f t="shared" si="4"/>
        <v>0</v>
      </c>
    </row>
    <row r="113" spans="1:10" s="138" customFormat="1" ht="15" customHeight="1" hidden="1" outlineLevel="3">
      <c r="A113" s="136" t="s">
        <v>451</v>
      </c>
      <c r="B113" s="137" t="s">
        <v>389</v>
      </c>
      <c r="C113" s="112">
        <v>460</v>
      </c>
      <c r="D113" s="137">
        <v>12</v>
      </c>
      <c r="E113" s="112"/>
      <c r="F113" s="110">
        <f t="shared" si="2"/>
        <v>0</v>
      </c>
      <c r="G113" s="112"/>
      <c r="H113" s="111"/>
      <c r="I113" s="111"/>
      <c r="J113" s="113">
        <f t="shared" si="4"/>
        <v>0</v>
      </c>
    </row>
    <row r="114" spans="1:10" s="138" customFormat="1" ht="15" customHeight="1" hidden="1" outlineLevel="3">
      <c r="A114" s="136" t="s">
        <v>452</v>
      </c>
      <c r="B114" s="137" t="s">
        <v>389</v>
      </c>
      <c r="C114" s="112">
        <v>530</v>
      </c>
      <c r="D114" s="137">
        <v>12</v>
      </c>
      <c r="E114" s="112"/>
      <c r="F114" s="110">
        <f t="shared" si="2"/>
        <v>0</v>
      </c>
      <c r="G114" s="112"/>
      <c r="H114" s="111"/>
      <c r="I114" s="111"/>
      <c r="J114" s="113">
        <f t="shared" si="4"/>
        <v>0</v>
      </c>
    </row>
    <row r="115" spans="1:10" s="138" customFormat="1" ht="15" customHeight="1" hidden="1" outlineLevel="3">
      <c r="A115" s="136" t="s">
        <v>453</v>
      </c>
      <c r="B115" s="137" t="s">
        <v>389</v>
      </c>
      <c r="C115" s="112">
        <v>510</v>
      </c>
      <c r="D115" s="137">
        <v>12</v>
      </c>
      <c r="E115" s="112"/>
      <c r="F115" s="110">
        <f t="shared" si="2"/>
        <v>0</v>
      </c>
      <c r="G115" s="112"/>
      <c r="H115" s="111"/>
      <c r="I115" s="111"/>
      <c r="J115" s="113">
        <f t="shared" si="4"/>
        <v>0</v>
      </c>
    </row>
    <row r="116" spans="1:10" s="138" customFormat="1" ht="15" customHeight="1" hidden="1" outlineLevel="3">
      <c r="A116" s="136" t="s">
        <v>454</v>
      </c>
      <c r="B116" s="137" t="s">
        <v>389</v>
      </c>
      <c r="C116" s="112">
        <v>490</v>
      </c>
      <c r="D116" s="137">
        <v>12</v>
      </c>
      <c r="E116" s="112"/>
      <c r="F116" s="110">
        <f aca="true" t="shared" si="5" ref="F116:F140">E116/C116*D116</f>
        <v>0</v>
      </c>
      <c r="G116" s="112"/>
      <c r="H116" s="111"/>
      <c r="I116" s="111"/>
      <c r="J116" s="113">
        <f t="shared" si="4"/>
        <v>0</v>
      </c>
    </row>
    <row r="117" spans="1:10" s="138" customFormat="1" ht="15" customHeight="1" hidden="1" outlineLevel="3">
      <c r="A117" s="136" t="s">
        <v>455</v>
      </c>
      <c r="B117" s="137" t="s">
        <v>389</v>
      </c>
      <c r="C117" s="112">
        <v>560</v>
      </c>
      <c r="D117" s="137">
        <v>12</v>
      </c>
      <c r="E117" s="112"/>
      <c r="F117" s="110">
        <f t="shared" si="5"/>
        <v>0</v>
      </c>
      <c r="G117" s="112"/>
      <c r="H117" s="111"/>
      <c r="I117" s="111"/>
      <c r="J117" s="113">
        <f t="shared" si="4"/>
        <v>0</v>
      </c>
    </row>
    <row r="118" spans="1:10" s="138" customFormat="1" ht="15" customHeight="1" hidden="1" outlineLevel="3">
      <c r="A118" s="136" t="s">
        <v>456</v>
      </c>
      <c r="B118" s="137" t="s">
        <v>389</v>
      </c>
      <c r="C118" s="112">
        <v>550</v>
      </c>
      <c r="D118" s="137">
        <v>12</v>
      </c>
      <c r="E118" s="112"/>
      <c r="F118" s="110">
        <f t="shared" si="5"/>
        <v>0</v>
      </c>
      <c r="G118" s="112"/>
      <c r="H118" s="111"/>
      <c r="I118" s="111"/>
      <c r="J118" s="113">
        <f t="shared" si="4"/>
        <v>0</v>
      </c>
    </row>
    <row r="119" spans="1:10" s="138" customFormat="1" ht="15" customHeight="1" hidden="1" outlineLevel="3">
      <c r="A119" s="136" t="s">
        <v>457</v>
      </c>
      <c r="B119" s="137" t="s">
        <v>389</v>
      </c>
      <c r="C119" s="112">
        <v>530</v>
      </c>
      <c r="D119" s="137">
        <v>12</v>
      </c>
      <c r="E119" s="112"/>
      <c r="F119" s="110">
        <f t="shared" si="5"/>
        <v>0</v>
      </c>
      <c r="G119" s="112"/>
      <c r="H119" s="111"/>
      <c r="I119" s="111"/>
      <c r="J119" s="113">
        <f t="shared" si="4"/>
        <v>0</v>
      </c>
    </row>
    <row r="120" spans="1:10" s="138" customFormat="1" ht="15" customHeight="1" hidden="1" outlineLevel="3">
      <c r="A120" s="136" t="s">
        <v>458</v>
      </c>
      <c r="B120" s="137" t="s">
        <v>389</v>
      </c>
      <c r="C120" s="112">
        <v>490</v>
      </c>
      <c r="D120" s="137">
        <v>12</v>
      </c>
      <c r="E120" s="112"/>
      <c r="F120" s="110">
        <f t="shared" si="5"/>
        <v>0</v>
      </c>
      <c r="G120" s="112"/>
      <c r="H120" s="111"/>
      <c r="I120" s="111"/>
      <c r="J120" s="113">
        <f t="shared" si="4"/>
        <v>0</v>
      </c>
    </row>
    <row r="121" spans="1:10" s="138" customFormat="1" ht="15" customHeight="1" hidden="1" outlineLevel="3">
      <c r="A121" s="136" t="s">
        <v>459</v>
      </c>
      <c r="B121" s="137" t="s">
        <v>389</v>
      </c>
      <c r="C121" s="112">
        <v>480</v>
      </c>
      <c r="D121" s="137">
        <v>12</v>
      </c>
      <c r="E121" s="112"/>
      <c r="F121" s="110">
        <f t="shared" si="5"/>
        <v>0</v>
      </c>
      <c r="G121" s="112"/>
      <c r="H121" s="111"/>
      <c r="I121" s="111"/>
      <c r="J121" s="113">
        <f t="shared" si="4"/>
        <v>0</v>
      </c>
    </row>
    <row r="122" spans="1:10" s="138" customFormat="1" ht="15" customHeight="1" hidden="1" outlineLevel="3">
      <c r="A122" s="136" t="s">
        <v>460</v>
      </c>
      <c r="B122" s="137" t="s">
        <v>389</v>
      </c>
      <c r="C122" s="112">
        <v>470</v>
      </c>
      <c r="D122" s="137">
        <v>12</v>
      </c>
      <c r="E122" s="112"/>
      <c r="F122" s="110">
        <f t="shared" si="5"/>
        <v>0</v>
      </c>
      <c r="G122" s="112"/>
      <c r="H122" s="111"/>
      <c r="I122" s="111"/>
      <c r="J122" s="113">
        <f t="shared" si="4"/>
        <v>0</v>
      </c>
    </row>
    <row r="123" spans="1:10" s="138" customFormat="1" ht="15" customHeight="1" hidden="1" outlineLevel="3">
      <c r="A123" s="136" t="s">
        <v>461</v>
      </c>
      <c r="B123" s="137" t="s">
        <v>389</v>
      </c>
      <c r="C123" s="112">
        <v>580</v>
      </c>
      <c r="D123" s="137">
        <v>12</v>
      </c>
      <c r="E123" s="112"/>
      <c r="F123" s="110">
        <f t="shared" si="5"/>
        <v>0</v>
      </c>
      <c r="G123" s="112"/>
      <c r="H123" s="111"/>
      <c r="I123" s="111"/>
      <c r="J123" s="113">
        <f t="shared" si="4"/>
        <v>0</v>
      </c>
    </row>
    <row r="124" spans="1:10" s="138" customFormat="1" ht="15" customHeight="1" hidden="1" outlineLevel="3">
      <c r="A124" s="136" t="s">
        <v>462</v>
      </c>
      <c r="B124" s="137" t="s">
        <v>389</v>
      </c>
      <c r="C124" s="112">
        <v>560</v>
      </c>
      <c r="D124" s="137">
        <v>12</v>
      </c>
      <c r="E124" s="112"/>
      <c r="F124" s="110">
        <f t="shared" si="5"/>
        <v>0</v>
      </c>
      <c r="G124" s="112"/>
      <c r="H124" s="111"/>
      <c r="I124" s="111"/>
      <c r="J124" s="113">
        <f t="shared" si="4"/>
        <v>0</v>
      </c>
    </row>
    <row r="125" spans="1:10" s="138" customFormat="1" ht="15" customHeight="1" hidden="1" outlineLevel="3">
      <c r="A125" s="136" t="s">
        <v>463</v>
      </c>
      <c r="B125" s="137" t="s">
        <v>389</v>
      </c>
      <c r="C125" s="112">
        <v>540</v>
      </c>
      <c r="D125" s="137">
        <v>12</v>
      </c>
      <c r="E125" s="112"/>
      <c r="F125" s="110">
        <f t="shared" si="5"/>
        <v>0</v>
      </c>
      <c r="G125" s="112"/>
      <c r="H125" s="111"/>
      <c r="I125" s="111"/>
      <c r="J125" s="113">
        <f t="shared" si="4"/>
        <v>0</v>
      </c>
    </row>
    <row r="126" spans="1:10" s="138" customFormat="1" ht="15" customHeight="1" hidden="1" outlineLevel="3">
      <c r="A126" s="136" t="s">
        <v>464</v>
      </c>
      <c r="B126" s="137" t="s">
        <v>389</v>
      </c>
      <c r="C126" s="112">
        <v>600</v>
      </c>
      <c r="D126" s="137">
        <v>12</v>
      </c>
      <c r="E126" s="112"/>
      <c r="F126" s="110">
        <f t="shared" si="5"/>
        <v>0</v>
      </c>
      <c r="G126" s="112"/>
      <c r="H126" s="111"/>
      <c r="I126" s="111"/>
      <c r="J126" s="113">
        <f t="shared" si="4"/>
        <v>0</v>
      </c>
    </row>
    <row r="127" spans="1:10" s="138" customFormat="1" ht="15" customHeight="1" hidden="1" outlineLevel="3">
      <c r="A127" s="136" t="s">
        <v>465</v>
      </c>
      <c r="B127" s="137" t="s">
        <v>389</v>
      </c>
      <c r="C127" s="112">
        <v>600</v>
      </c>
      <c r="D127" s="137">
        <v>12</v>
      </c>
      <c r="E127" s="112"/>
      <c r="F127" s="110">
        <f t="shared" si="5"/>
        <v>0</v>
      </c>
      <c r="G127" s="112"/>
      <c r="H127" s="111"/>
      <c r="I127" s="111"/>
      <c r="J127" s="113">
        <f t="shared" si="4"/>
        <v>0</v>
      </c>
    </row>
    <row r="128" spans="1:10" s="138" customFormat="1" ht="15" customHeight="1" hidden="1" outlineLevel="3">
      <c r="A128" s="136" t="s">
        <v>466</v>
      </c>
      <c r="B128" s="137" t="s">
        <v>389</v>
      </c>
      <c r="C128" s="112">
        <v>580</v>
      </c>
      <c r="D128" s="137">
        <v>12</v>
      </c>
      <c r="E128" s="112"/>
      <c r="F128" s="110">
        <f t="shared" si="5"/>
        <v>0</v>
      </c>
      <c r="G128" s="112"/>
      <c r="H128" s="111"/>
      <c r="I128" s="111"/>
      <c r="J128" s="113">
        <f t="shared" si="4"/>
        <v>0</v>
      </c>
    </row>
    <row r="129" spans="1:10" s="138" customFormat="1" ht="15" customHeight="1" hidden="1" outlineLevel="3">
      <c r="A129" s="136" t="s">
        <v>467</v>
      </c>
      <c r="B129" s="137" t="s">
        <v>389</v>
      </c>
      <c r="C129" s="112">
        <v>530</v>
      </c>
      <c r="D129" s="137">
        <v>12</v>
      </c>
      <c r="E129" s="112"/>
      <c r="F129" s="110">
        <f t="shared" si="5"/>
        <v>0</v>
      </c>
      <c r="G129" s="112"/>
      <c r="H129" s="111"/>
      <c r="I129" s="111"/>
      <c r="J129" s="113">
        <f t="shared" si="4"/>
        <v>0</v>
      </c>
    </row>
    <row r="130" spans="1:10" s="138" customFormat="1" ht="15" customHeight="1" hidden="1" outlineLevel="3">
      <c r="A130" s="136" t="s">
        <v>468</v>
      </c>
      <c r="B130" s="137" t="s">
        <v>389</v>
      </c>
      <c r="C130" s="112">
        <v>530</v>
      </c>
      <c r="D130" s="137">
        <v>12</v>
      </c>
      <c r="E130" s="112"/>
      <c r="F130" s="110">
        <f t="shared" si="5"/>
        <v>0</v>
      </c>
      <c r="G130" s="112"/>
      <c r="H130" s="111"/>
      <c r="I130" s="111"/>
      <c r="J130" s="113">
        <f t="shared" si="4"/>
        <v>0</v>
      </c>
    </row>
    <row r="131" spans="1:10" s="138" customFormat="1" ht="15" customHeight="1" hidden="1" outlineLevel="3">
      <c r="A131" s="136" t="s">
        <v>469</v>
      </c>
      <c r="B131" s="137" t="s">
        <v>389</v>
      </c>
      <c r="C131" s="112">
        <v>510</v>
      </c>
      <c r="D131" s="137">
        <v>12</v>
      </c>
      <c r="E131" s="112"/>
      <c r="F131" s="110">
        <f t="shared" si="5"/>
        <v>0</v>
      </c>
      <c r="G131" s="112"/>
      <c r="H131" s="111"/>
      <c r="I131" s="111"/>
      <c r="J131" s="113">
        <f t="shared" si="4"/>
        <v>0</v>
      </c>
    </row>
    <row r="132" spans="1:10" s="138" customFormat="1" ht="15" customHeight="1" hidden="1" outlineLevel="3">
      <c r="A132" s="136" t="s">
        <v>470</v>
      </c>
      <c r="B132" s="137" t="s">
        <v>389</v>
      </c>
      <c r="C132" s="112">
        <v>640</v>
      </c>
      <c r="D132" s="137">
        <v>12</v>
      </c>
      <c r="E132" s="112"/>
      <c r="F132" s="110">
        <f t="shared" si="5"/>
        <v>0</v>
      </c>
      <c r="G132" s="112"/>
      <c r="H132" s="111"/>
      <c r="I132" s="111"/>
      <c r="J132" s="113">
        <f t="shared" si="4"/>
        <v>0</v>
      </c>
    </row>
    <row r="133" spans="1:10" s="138" customFormat="1" ht="15" customHeight="1" hidden="1" outlineLevel="3">
      <c r="A133" s="136" t="s">
        <v>471</v>
      </c>
      <c r="B133" s="137" t="s">
        <v>389</v>
      </c>
      <c r="C133" s="112">
        <v>510</v>
      </c>
      <c r="D133" s="137">
        <v>12</v>
      </c>
      <c r="E133" s="112"/>
      <c r="F133" s="110">
        <f t="shared" si="5"/>
        <v>0</v>
      </c>
      <c r="G133" s="112"/>
      <c r="H133" s="111"/>
      <c r="I133" s="111"/>
      <c r="J133" s="113">
        <f t="shared" si="4"/>
        <v>0</v>
      </c>
    </row>
    <row r="134" spans="1:10" s="138" customFormat="1" ht="15" customHeight="1" hidden="1" outlineLevel="3">
      <c r="A134" s="136" t="s">
        <v>472</v>
      </c>
      <c r="B134" s="137" t="s">
        <v>389</v>
      </c>
      <c r="C134" s="112">
        <v>490</v>
      </c>
      <c r="D134" s="137">
        <v>12</v>
      </c>
      <c r="E134" s="112"/>
      <c r="F134" s="110">
        <f t="shared" si="5"/>
        <v>0</v>
      </c>
      <c r="G134" s="112"/>
      <c r="H134" s="111"/>
      <c r="I134" s="111"/>
      <c r="J134" s="113">
        <f t="shared" si="4"/>
        <v>0</v>
      </c>
    </row>
    <row r="135" spans="1:10" s="138" customFormat="1" ht="15" customHeight="1" hidden="1" outlineLevel="3">
      <c r="A135" s="136" t="s">
        <v>473</v>
      </c>
      <c r="B135" s="137" t="s">
        <v>389</v>
      </c>
      <c r="C135" s="112">
        <v>670</v>
      </c>
      <c r="D135" s="137">
        <v>12</v>
      </c>
      <c r="E135" s="112"/>
      <c r="F135" s="110">
        <f t="shared" si="5"/>
        <v>0</v>
      </c>
      <c r="G135" s="112"/>
      <c r="H135" s="111"/>
      <c r="I135" s="111"/>
      <c r="J135" s="113">
        <f t="shared" si="4"/>
        <v>0</v>
      </c>
    </row>
    <row r="136" spans="1:10" s="138" customFormat="1" ht="15" customHeight="1" hidden="1" outlineLevel="3">
      <c r="A136" s="136" t="s">
        <v>474</v>
      </c>
      <c r="B136" s="137" t="s">
        <v>389</v>
      </c>
      <c r="C136" s="112">
        <v>660</v>
      </c>
      <c r="D136" s="137">
        <v>12</v>
      </c>
      <c r="E136" s="112"/>
      <c r="F136" s="110">
        <f t="shared" si="5"/>
        <v>0</v>
      </c>
      <c r="G136" s="112"/>
      <c r="H136" s="111"/>
      <c r="I136" s="111"/>
      <c r="J136" s="113">
        <f t="shared" si="4"/>
        <v>0</v>
      </c>
    </row>
    <row r="137" spans="1:10" s="138" customFormat="1" ht="15" customHeight="1" hidden="1" outlineLevel="3">
      <c r="A137" s="136" t="s">
        <v>475</v>
      </c>
      <c r="B137" s="137" t="s">
        <v>389</v>
      </c>
      <c r="C137" s="112">
        <v>640</v>
      </c>
      <c r="D137" s="137">
        <v>12</v>
      </c>
      <c r="E137" s="112"/>
      <c r="F137" s="110">
        <f t="shared" si="5"/>
        <v>0</v>
      </c>
      <c r="G137" s="112"/>
      <c r="H137" s="111"/>
      <c r="I137" s="111"/>
      <c r="J137" s="113">
        <f t="shared" si="4"/>
        <v>0</v>
      </c>
    </row>
    <row r="138" spans="1:10" s="138" customFormat="1" ht="15" customHeight="1" hidden="1" outlineLevel="3">
      <c r="A138" s="136" t="s">
        <v>476</v>
      </c>
      <c r="B138" s="137" t="s">
        <v>389</v>
      </c>
      <c r="C138" s="112">
        <v>590</v>
      </c>
      <c r="D138" s="137">
        <v>12</v>
      </c>
      <c r="E138" s="112"/>
      <c r="F138" s="110">
        <f t="shared" si="5"/>
        <v>0</v>
      </c>
      <c r="G138" s="112"/>
      <c r="H138" s="111"/>
      <c r="I138" s="111"/>
      <c r="J138" s="113">
        <f t="shared" si="4"/>
        <v>0</v>
      </c>
    </row>
    <row r="139" spans="1:10" s="138" customFormat="1" ht="15" customHeight="1" hidden="1" outlineLevel="3">
      <c r="A139" s="136" t="s">
        <v>477</v>
      </c>
      <c r="B139" s="137" t="s">
        <v>389</v>
      </c>
      <c r="C139" s="112">
        <v>580</v>
      </c>
      <c r="D139" s="137">
        <v>12</v>
      </c>
      <c r="E139" s="112"/>
      <c r="F139" s="110">
        <f t="shared" si="5"/>
        <v>0</v>
      </c>
      <c r="G139" s="112"/>
      <c r="H139" s="111"/>
      <c r="I139" s="111"/>
      <c r="J139" s="113">
        <f aca="true" t="shared" si="6" ref="J139:J170">I139/$E$8</f>
        <v>0</v>
      </c>
    </row>
    <row r="140" spans="1:10" s="138" customFormat="1" ht="15" customHeight="1" hidden="1" outlineLevel="3">
      <c r="A140" s="136" t="s">
        <v>478</v>
      </c>
      <c r="B140" s="137" t="s">
        <v>389</v>
      </c>
      <c r="C140" s="112">
        <v>560</v>
      </c>
      <c r="D140" s="137">
        <v>12</v>
      </c>
      <c r="E140" s="112"/>
      <c r="F140" s="110">
        <f t="shared" si="5"/>
        <v>0</v>
      </c>
      <c r="G140" s="112"/>
      <c r="H140" s="111"/>
      <c r="I140" s="111"/>
      <c r="J140" s="113">
        <f t="shared" si="6"/>
        <v>0</v>
      </c>
    </row>
    <row r="141" spans="1:10" s="69" customFormat="1" ht="15" customHeight="1" hidden="1" outlineLevel="1">
      <c r="A141" s="135" t="s">
        <v>365</v>
      </c>
      <c r="B141" s="68" t="s">
        <v>364</v>
      </c>
      <c r="C141" s="68" t="str">
        <f>E50</f>
        <v>х</v>
      </c>
      <c r="D141" s="139">
        <v>0.5</v>
      </c>
      <c r="E141" s="108">
        <f>H50</f>
        <v>0</v>
      </c>
      <c r="F141" s="68">
        <f>E141/12</f>
        <v>0</v>
      </c>
      <c r="G141" s="107">
        <v>0.5</v>
      </c>
      <c r="H141" s="108">
        <f>E141*G141</f>
        <v>0</v>
      </c>
      <c r="I141" s="108">
        <f>H141/12</f>
        <v>0</v>
      </c>
      <c r="J141" s="109">
        <f t="shared" si="6"/>
        <v>0</v>
      </c>
    </row>
    <row r="142" spans="1:10" s="69" customFormat="1" ht="15" customHeight="1" hidden="1" outlineLevel="1">
      <c r="A142" s="135" t="s">
        <v>366</v>
      </c>
      <c r="B142" s="68" t="s">
        <v>364</v>
      </c>
      <c r="C142" s="68" t="s">
        <v>364</v>
      </c>
      <c r="D142" s="139">
        <v>0.12</v>
      </c>
      <c r="E142" s="108">
        <f>H50+H141</f>
        <v>0</v>
      </c>
      <c r="F142" s="68">
        <f>E142/12</f>
        <v>0</v>
      </c>
      <c r="G142" s="107">
        <v>0.12</v>
      </c>
      <c r="H142" s="108">
        <f>E142*G142</f>
        <v>0</v>
      </c>
      <c r="I142" s="108">
        <f>H142/12</f>
        <v>0</v>
      </c>
      <c r="J142" s="109">
        <f t="shared" si="6"/>
        <v>0</v>
      </c>
    </row>
    <row r="143" spans="1:10" s="69" customFormat="1" ht="15" customHeight="1" hidden="1" outlineLevel="1">
      <c r="A143" s="135" t="s">
        <v>367</v>
      </c>
      <c r="B143" s="68" t="s">
        <v>364</v>
      </c>
      <c r="C143" s="68" t="s">
        <v>364</v>
      </c>
      <c r="D143" s="139">
        <v>0.342</v>
      </c>
      <c r="E143" s="108">
        <f>H50+H141+H142</f>
        <v>0</v>
      </c>
      <c r="F143" s="68">
        <f>E143/12</f>
        <v>0</v>
      </c>
      <c r="G143" s="107">
        <v>0.342</v>
      </c>
      <c r="H143" s="108">
        <f>E143*G143</f>
        <v>0</v>
      </c>
      <c r="I143" s="108">
        <f>H143/12</f>
        <v>0</v>
      </c>
      <c r="J143" s="109">
        <f t="shared" si="6"/>
        <v>0</v>
      </c>
    </row>
    <row r="144" spans="1:10" s="69" customFormat="1" ht="15" customHeight="1" hidden="1" outlineLevel="1">
      <c r="A144" s="135" t="s">
        <v>369</v>
      </c>
      <c r="B144" s="68" t="s">
        <v>364</v>
      </c>
      <c r="C144" s="124" t="s">
        <v>364</v>
      </c>
      <c r="D144" s="124" t="s">
        <v>364</v>
      </c>
      <c r="E144" s="124" t="s">
        <v>364</v>
      </c>
      <c r="F144" s="125" t="s">
        <v>364</v>
      </c>
      <c r="G144" s="125" t="s">
        <v>364</v>
      </c>
      <c r="H144" s="108">
        <f>SUM(H145:H163)</f>
        <v>0</v>
      </c>
      <c r="I144" s="108">
        <f>H144/12</f>
        <v>0</v>
      </c>
      <c r="J144" s="109">
        <f t="shared" si="6"/>
        <v>0</v>
      </c>
    </row>
    <row r="145" spans="1:10" s="123" customFormat="1" ht="15" customHeight="1" hidden="1" outlineLevel="3">
      <c r="A145" s="102" t="s">
        <v>479</v>
      </c>
      <c r="B145" s="129" t="s">
        <v>370</v>
      </c>
      <c r="C145" s="120">
        <f>1/12</f>
        <v>0.08333333333333333</v>
      </c>
      <c r="D145" s="140">
        <v>12</v>
      </c>
      <c r="E145" s="119">
        <v>0</v>
      </c>
      <c r="F145" s="120">
        <f>C145*D145*E145</f>
        <v>0</v>
      </c>
      <c r="G145" s="121">
        <v>500</v>
      </c>
      <c r="H145" s="121">
        <f>F145*G145</f>
        <v>0</v>
      </c>
      <c r="I145" s="121">
        <f>H145/12</f>
        <v>0</v>
      </c>
      <c r="J145" s="122">
        <f t="shared" si="6"/>
        <v>0</v>
      </c>
    </row>
    <row r="146" spans="1:10" s="123" customFormat="1" ht="15" customHeight="1" hidden="1" outlineLevel="3">
      <c r="A146" s="102" t="s">
        <v>381</v>
      </c>
      <c r="B146" s="129" t="s">
        <v>370</v>
      </c>
      <c r="C146" s="120">
        <v>1</v>
      </c>
      <c r="D146" s="140">
        <v>12</v>
      </c>
      <c r="E146" s="119">
        <v>0</v>
      </c>
      <c r="F146" s="120">
        <f aca="true" t="shared" si="7" ref="F146:F163">C146*D146*E146</f>
        <v>0</v>
      </c>
      <c r="G146" s="121">
        <v>14</v>
      </c>
      <c r="H146" s="121">
        <f aca="true" t="shared" si="8" ref="H146:H161">F146*G146</f>
        <v>0</v>
      </c>
      <c r="I146" s="121">
        <f aca="true" t="shared" si="9" ref="I146:I163">H146/12</f>
        <v>0</v>
      </c>
      <c r="J146" s="122">
        <f t="shared" si="6"/>
        <v>0</v>
      </c>
    </row>
    <row r="147" spans="1:10" s="123" customFormat="1" ht="15" customHeight="1" hidden="1" outlineLevel="3">
      <c r="A147" s="102" t="s">
        <v>480</v>
      </c>
      <c r="B147" s="129" t="s">
        <v>370</v>
      </c>
      <c r="C147" s="120">
        <f>1/12</f>
        <v>0.08333333333333333</v>
      </c>
      <c r="D147" s="140">
        <v>12</v>
      </c>
      <c r="E147" s="119">
        <v>0</v>
      </c>
      <c r="F147" s="120">
        <f t="shared" si="7"/>
        <v>0</v>
      </c>
      <c r="G147" s="121">
        <v>120</v>
      </c>
      <c r="H147" s="121">
        <f t="shared" si="8"/>
        <v>0</v>
      </c>
      <c r="I147" s="121">
        <f t="shared" si="9"/>
        <v>0</v>
      </c>
      <c r="J147" s="122">
        <f t="shared" si="6"/>
        <v>0</v>
      </c>
    </row>
    <row r="148" spans="1:10" s="123" customFormat="1" ht="15" customHeight="1" hidden="1" outlineLevel="3">
      <c r="A148" s="102" t="s">
        <v>481</v>
      </c>
      <c r="B148" s="129" t="s">
        <v>370</v>
      </c>
      <c r="C148" s="120">
        <f>1/36</f>
        <v>0.027777777777777776</v>
      </c>
      <c r="D148" s="140">
        <v>12</v>
      </c>
      <c r="E148" s="119">
        <v>0</v>
      </c>
      <c r="F148" s="120">
        <f t="shared" si="7"/>
        <v>0</v>
      </c>
      <c r="G148" s="121">
        <v>1200</v>
      </c>
      <c r="H148" s="121">
        <f t="shared" si="8"/>
        <v>0</v>
      </c>
      <c r="I148" s="121">
        <f t="shared" si="9"/>
        <v>0</v>
      </c>
      <c r="J148" s="122">
        <f t="shared" si="6"/>
        <v>0</v>
      </c>
    </row>
    <row r="149" spans="1:10" s="123" customFormat="1" ht="15" customHeight="1" hidden="1" outlineLevel="3">
      <c r="A149" s="102" t="s">
        <v>482</v>
      </c>
      <c r="B149" s="129" t="s">
        <v>370</v>
      </c>
      <c r="C149" s="120">
        <f>1/36</f>
        <v>0.027777777777777776</v>
      </c>
      <c r="D149" s="140">
        <v>12</v>
      </c>
      <c r="E149" s="119">
        <v>0</v>
      </c>
      <c r="F149" s="120">
        <f t="shared" si="7"/>
        <v>0</v>
      </c>
      <c r="G149" s="121">
        <v>1200</v>
      </c>
      <c r="H149" s="121">
        <f t="shared" si="8"/>
        <v>0</v>
      </c>
      <c r="I149" s="121">
        <f t="shared" si="9"/>
        <v>0</v>
      </c>
      <c r="J149" s="122">
        <f t="shared" si="6"/>
        <v>0</v>
      </c>
    </row>
    <row r="150" spans="1:10" s="123" customFormat="1" ht="15" customHeight="1" hidden="1" outlineLevel="3">
      <c r="A150" s="102" t="s">
        <v>371</v>
      </c>
      <c r="B150" s="129" t="s">
        <v>370</v>
      </c>
      <c r="C150" s="120">
        <f>1/36</f>
        <v>0.027777777777777776</v>
      </c>
      <c r="D150" s="140">
        <v>12</v>
      </c>
      <c r="E150" s="119">
        <v>0</v>
      </c>
      <c r="F150" s="120">
        <f t="shared" si="7"/>
        <v>0</v>
      </c>
      <c r="G150" s="121">
        <v>600</v>
      </c>
      <c r="H150" s="121">
        <f t="shared" si="8"/>
        <v>0</v>
      </c>
      <c r="I150" s="121">
        <f t="shared" si="9"/>
        <v>0</v>
      </c>
      <c r="J150" s="122">
        <f t="shared" si="6"/>
        <v>0</v>
      </c>
    </row>
    <row r="151" spans="1:10" s="123" customFormat="1" ht="15" customHeight="1" hidden="1" outlineLevel="3">
      <c r="A151" s="102" t="s">
        <v>373</v>
      </c>
      <c r="B151" s="129" t="s">
        <v>370</v>
      </c>
      <c r="C151" s="120">
        <v>0.027777777777777776</v>
      </c>
      <c r="D151" s="140">
        <v>12</v>
      </c>
      <c r="E151" s="119">
        <v>0</v>
      </c>
      <c r="F151" s="120">
        <f t="shared" si="7"/>
        <v>0</v>
      </c>
      <c r="G151" s="121">
        <v>100</v>
      </c>
      <c r="H151" s="121">
        <f t="shared" si="8"/>
        <v>0</v>
      </c>
      <c r="I151" s="121">
        <f t="shared" si="9"/>
        <v>0</v>
      </c>
      <c r="J151" s="122">
        <f t="shared" si="6"/>
        <v>0</v>
      </c>
    </row>
    <row r="152" spans="1:10" s="123" customFormat="1" ht="15" customHeight="1" hidden="1" outlineLevel="3">
      <c r="A152" s="102" t="s">
        <v>483</v>
      </c>
      <c r="B152" s="129" t="s">
        <v>370</v>
      </c>
      <c r="C152" s="120">
        <f>1/36</f>
        <v>0.027777777777777776</v>
      </c>
      <c r="D152" s="140">
        <v>12</v>
      </c>
      <c r="E152" s="119">
        <v>0</v>
      </c>
      <c r="F152" s="120">
        <f t="shared" si="7"/>
        <v>0</v>
      </c>
      <c r="G152" s="121">
        <v>1200</v>
      </c>
      <c r="H152" s="121">
        <f t="shared" si="8"/>
        <v>0</v>
      </c>
      <c r="I152" s="121">
        <f t="shared" si="9"/>
        <v>0</v>
      </c>
      <c r="J152" s="122">
        <f t="shared" si="6"/>
        <v>0</v>
      </c>
    </row>
    <row r="153" spans="1:10" s="123" customFormat="1" ht="15" customHeight="1" hidden="1" outlineLevel="3">
      <c r="A153" s="102" t="s">
        <v>484</v>
      </c>
      <c r="B153" s="129" t="s">
        <v>370</v>
      </c>
      <c r="C153" s="120">
        <f>1/12</f>
        <v>0.08333333333333333</v>
      </c>
      <c r="D153" s="140">
        <v>12</v>
      </c>
      <c r="E153" s="119">
        <v>0</v>
      </c>
      <c r="F153" s="120">
        <f t="shared" si="7"/>
        <v>0</v>
      </c>
      <c r="G153" s="121">
        <v>100</v>
      </c>
      <c r="H153" s="121">
        <f t="shared" si="8"/>
        <v>0</v>
      </c>
      <c r="I153" s="121">
        <f t="shared" si="9"/>
        <v>0</v>
      </c>
      <c r="J153" s="122">
        <f t="shared" si="6"/>
        <v>0</v>
      </c>
    </row>
    <row r="154" spans="1:10" s="123" customFormat="1" ht="15" customHeight="1" hidden="1" outlineLevel="3">
      <c r="A154" s="102" t="s">
        <v>485</v>
      </c>
      <c r="B154" s="129" t="s">
        <v>370</v>
      </c>
      <c r="C154" s="120">
        <v>0.08333333333333333</v>
      </c>
      <c r="D154" s="140">
        <v>12</v>
      </c>
      <c r="E154" s="119">
        <v>0</v>
      </c>
      <c r="F154" s="120">
        <f t="shared" si="7"/>
        <v>0</v>
      </c>
      <c r="G154" s="121">
        <v>100</v>
      </c>
      <c r="H154" s="121">
        <f t="shared" si="8"/>
        <v>0</v>
      </c>
      <c r="I154" s="121">
        <f t="shared" si="9"/>
        <v>0</v>
      </c>
      <c r="J154" s="122">
        <f t="shared" si="6"/>
        <v>0</v>
      </c>
    </row>
    <row r="155" spans="1:10" s="123" customFormat="1" ht="15" customHeight="1" hidden="1" outlineLevel="3">
      <c r="A155" s="102" t="s">
        <v>382</v>
      </c>
      <c r="B155" s="129" t="s">
        <v>370</v>
      </c>
      <c r="C155" s="120">
        <f>1/36</f>
        <v>0.027777777777777776</v>
      </c>
      <c r="D155" s="140">
        <v>12</v>
      </c>
      <c r="E155" s="119">
        <v>0</v>
      </c>
      <c r="F155" s="120">
        <f t="shared" si="7"/>
        <v>0</v>
      </c>
      <c r="G155" s="121">
        <v>1200</v>
      </c>
      <c r="H155" s="121">
        <f t="shared" si="8"/>
        <v>0</v>
      </c>
      <c r="I155" s="121">
        <f t="shared" si="9"/>
        <v>0</v>
      </c>
      <c r="J155" s="122">
        <f t="shared" si="6"/>
        <v>0</v>
      </c>
    </row>
    <row r="156" spans="1:10" s="123" customFormat="1" ht="15" customHeight="1" hidden="1" outlineLevel="3">
      <c r="A156" s="102" t="s">
        <v>372</v>
      </c>
      <c r="B156" s="129" t="s">
        <v>370</v>
      </c>
      <c r="C156" s="120">
        <v>1</v>
      </c>
      <c r="D156" s="140">
        <v>12</v>
      </c>
      <c r="E156" s="119">
        <v>0</v>
      </c>
      <c r="F156" s="120">
        <f t="shared" si="7"/>
        <v>0</v>
      </c>
      <c r="G156" s="121">
        <v>34</v>
      </c>
      <c r="H156" s="121">
        <f t="shared" si="8"/>
        <v>0</v>
      </c>
      <c r="I156" s="121">
        <f t="shared" si="9"/>
        <v>0</v>
      </c>
      <c r="J156" s="122">
        <f t="shared" si="6"/>
        <v>0</v>
      </c>
    </row>
    <row r="157" spans="1:10" s="123" customFormat="1" ht="15" customHeight="1" hidden="1" outlineLevel="3">
      <c r="A157" s="102" t="s">
        <v>376</v>
      </c>
      <c r="B157" s="129" t="s">
        <v>370</v>
      </c>
      <c r="C157" s="120">
        <f>1/12</f>
        <v>0.08333333333333333</v>
      </c>
      <c r="D157" s="140">
        <v>12</v>
      </c>
      <c r="E157" s="119">
        <v>0</v>
      </c>
      <c r="F157" s="120">
        <f>C157*D157*E157</f>
        <v>0</v>
      </c>
      <c r="G157" s="121">
        <v>120</v>
      </c>
      <c r="H157" s="121">
        <f t="shared" si="8"/>
        <v>0</v>
      </c>
      <c r="I157" s="121">
        <f t="shared" si="9"/>
        <v>0</v>
      </c>
      <c r="J157" s="122">
        <f t="shared" si="6"/>
        <v>0</v>
      </c>
    </row>
    <row r="158" spans="1:10" s="123" customFormat="1" ht="15" customHeight="1" hidden="1" outlineLevel="3">
      <c r="A158" s="102" t="s">
        <v>374</v>
      </c>
      <c r="B158" s="129" t="s">
        <v>370</v>
      </c>
      <c r="C158" s="120">
        <f>4/12</f>
        <v>0.3333333333333333</v>
      </c>
      <c r="D158" s="140">
        <v>12</v>
      </c>
      <c r="E158" s="119">
        <v>0</v>
      </c>
      <c r="F158" s="120">
        <f t="shared" si="7"/>
        <v>0</v>
      </c>
      <c r="G158" s="121">
        <v>70</v>
      </c>
      <c r="H158" s="121">
        <f t="shared" si="8"/>
        <v>0</v>
      </c>
      <c r="I158" s="121">
        <f t="shared" si="9"/>
        <v>0</v>
      </c>
      <c r="J158" s="122">
        <f t="shared" si="6"/>
        <v>0</v>
      </c>
    </row>
    <row r="159" spans="1:10" s="123" customFormat="1" ht="15" customHeight="1" hidden="1" outlineLevel="3">
      <c r="A159" s="102" t="s">
        <v>383</v>
      </c>
      <c r="B159" s="129" t="s">
        <v>370</v>
      </c>
      <c r="C159" s="120">
        <f>1/12</f>
        <v>0.08333333333333333</v>
      </c>
      <c r="D159" s="140">
        <v>12</v>
      </c>
      <c r="E159" s="119">
        <v>0</v>
      </c>
      <c r="F159" s="120">
        <f t="shared" si="7"/>
        <v>0</v>
      </c>
      <c r="G159" s="121">
        <v>100</v>
      </c>
      <c r="H159" s="121">
        <f t="shared" si="8"/>
        <v>0</v>
      </c>
      <c r="I159" s="121">
        <f t="shared" si="9"/>
        <v>0</v>
      </c>
      <c r="J159" s="122">
        <f t="shared" si="6"/>
        <v>0</v>
      </c>
    </row>
    <row r="160" spans="1:10" s="123" customFormat="1" ht="15" customHeight="1" hidden="1" outlineLevel="3">
      <c r="A160" s="102" t="s">
        <v>375</v>
      </c>
      <c r="B160" s="129" t="s">
        <v>370</v>
      </c>
      <c r="C160" s="120">
        <f>1/12</f>
        <v>0.08333333333333333</v>
      </c>
      <c r="D160" s="140">
        <v>12</v>
      </c>
      <c r="E160" s="119">
        <v>0</v>
      </c>
      <c r="F160" s="120">
        <f t="shared" si="7"/>
        <v>0</v>
      </c>
      <c r="G160" s="121">
        <v>120</v>
      </c>
      <c r="H160" s="121">
        <f t="shared" si="8"/>
        <v>0</v>
      </c>
      <c r="I160" s="121">
        <f t="shared" si="9"/>
        <v>0</v>
      </c>
      <c r="J160" s="122">
        <f t="shared" si="6"/>
        <v>0</v>
      </c>
    </row>
    <row r="161" spans="1:10" s="123" customFormat="1" ht="15" customHeight="1" hidden="1" outlineLevel="3">
      <c r="A161" s="102" t="s">
        <v>486</v>
      </c>
      <c r="B161" s="129" t="s">
        <v>370</v>
      </c>
      <c r="C161" s="120">
        <f>1/12</f>
        <v>0.08333333333333333</v>
      </c>
      <c r="D161" s="140">
        <v>12</v>
      </c>
      <c r="E161" s="119">
        <v>0</v>
      </c>
      <c r="F161" s="120">
        <f t="shared" si="7"/>
        <v>0</v>
      </c>
      <c r="G161" s="121">
        <v>70</v>
      </c>
      <c r="H161" s="121">
        <f t="shared" si="8"/>
        <v>0</v>
      </c>
      <c r="I161" s="121">
        <f t="shared" si="9"/>
        <v>0</v>
      </c>
      <c r="J161" s="122">
        <f t="shared" si="6"/>
        <v>0</v>
      </c>
    </row>
    <row r="162" spans="1:10" s="103" customFormat="1" ht="15.75" customHeight="1" hidden="1" outlineLevel="3">
      <c r="A162" s="104" t="s">
        <v>377</v>
      </c>
      <c r="B162" s="129" t="s">
        <v>370</v>
      </c>
      <c r="C162" s="130">
        <f>2</f>
        <v>2</v>
      </c>
      <c r="D162" s="129">
        <v>12</v>
      </c>
      <c r="E162" s="119">
        <v>0</v>
      </c>
      <c r="F162" s="131">
        <f t="shared" si="7"/>
        <v>0</v>
      </c>
      <c r="G162" s="133">
        <v>10</v>
      </c>
      <c r="H162" s="132">
        <f>F162*G162</f>
        <v>0</v>
      </c>
      <c r="I162" s="121">
        <f t="shared" si="9"/>
        <v>0</v>
      </c>
      <c r="J162" s="122">
        <f t="shared" si="6"/>
        <v>0</v>
      </c>
    </row>
    <row r="163" spans="1:10" s="103" customFormat="1" ht="15.75" customHeight="1" hidden="1" outlineLevel="3">
      <c r="A163" s="104" t="s">
        <v>378</v>
      </c>
      <c r="B163" s="129" t="s">
        <v>370</v>
      </c>
      <c r="C163" s="130">
        <v>0.5</v>
      </c>
      <c r="D163" s="129">
        <v>12</v>
      </c>
      <c r="E163" s="119">
        <v>0</v>
      </c>
      <c r="F163" s="131">
        <f t="shared" si="7"/>
        <v>0</v>
      </c>
      <c r="G163" s="133">
        <v>18.2</v>
      </c>
      <c r="H163" s="132">
        <f>F163*G163</f>
        <v>0</v>
      </c>
      <c r="I163" s="121">
        <f t="shared" si="9"/>
        <v>0</v>
      </c>
      <c r="J163" s="122">
        <f t="shared" si="6"/>
        <v>0</v>
      </c>
    </row>
    <row r="164" spans="1:10" s="69" customFormat="1" ht="15" customHeight="1" hidden="1" outlineLevel="1">
      <c r="A164" s="135" t="s">
        <v>60</v>
      </c>
      <c r="B164" s="68" t="s">
        <v>364</v>
      </c>
      <c r="C164" s="124" t="s">
        <v>364</v>
      </c>
      <c r="D164" s="124" t="s">
        <v>364</v>
      </c>
      <c r="E164" s="124" t="s">
        <v>364</v>
      </c>
      <c r="F164" s="125" t="s">
        <v>364</v>
      </c>
      <c r="G164" s="125" t="s">
        <v>364</v>
      </c>
      <c r="H164" s="108">
        <f>SUM(H165:H171)</f>
        <v>0</v>
      </c>
      <c r="I164" s="108">
        <f>H164/12</f>
        <v>0</v>
      </c>
      <c r="J164" s="109">
        <f t="shared" si="6"/>
        <v>0</v>
      </c>
    </row>
    <row r="165" spans="1:10" s="123" customFormat="1" ht="15" customHeight="1" hidden="1" outlineLevel="3">
      <c r="A165" s="102" t="s">
        <v>487</v>
      </c>
      <c r="B165" s="120" t="s">
        <v>488</v>
      </c>
      <c r="C165" s="141">
        <v>6</v>
      </c>
      <c r="D165" s="140">
        <v>12</v>
      </c>
      <c r="E165" s="119">
        <v>0</v>
      </c>
      <c r="F165" s="120">
        <f>C165*D165*E165</f>
        <v>0</v>
      </c>
      <c r="G165" s="121">
        <v>25</v>
      </c>
      <c r="H165" s="121">
        <f>F165*G165</f>
        <v>0</v>
      </c>
      <c r="I165" s="121">
        <f>H165/12</f>
        <v>0</v>
      </c>
      <c r="J165" s="122">
        <f t="shared" si="6"/>
        <v>0</v>
      </c>
    </row>
    <row r="166" spans="1:10" s="123" customFormat="1" ht="15" customHeight="1" hidden="1" outlineLevel="3">
      <c r="A166" s="102" t="s">
        <v>489</v>
      </c>
      <c r="B166" s="120" t="s">
        <v>368</v>
      </c>
      <c r="C166" s="141">
        <v>0.02</v>
      </c>
      <c r="D166" s="140">
        <v>12</v>
      </c>
      <c r="E166" s="119">
        <v>0</v>
      </c>
      <c r="F166" s="120">
        <f aca="true" t="shared" si="10" ref="F166:F171">C166*D166*E166</f>
        <v>0</v>
      </c>
      <c r="G166" s="121">
        <v>70</v>
      </c>
      <c r="H166" s="121">
        <f aca="true" t="shared" si="11" ref="H166:H171">F166*G166</f>
        <v>0</v>
      </c>
      <c r="I166" s="121">
        <f aca="true" t="shared" si="12" ref="I166:I171">H166/12</f>
        <v>0</v>
      </c>
      <c r="J166" s="122">
        <f t="shared" si="6"/>
        <v>0</v>
      </c>
    </row>
    <row r="167" spans="1:10" s="123" customFormat="1" ht="15" customHeight="1" hidden="1" outlineLevel="3">
      <c r="A167" s="102" t="s">
        <v>490</v>
      </c>
      <c r="B167" s="120" t="s">
        <v>491</v>
      </c>
      <c r="C167" s="141">
        <v>0.015</v>
      </c>
      <c r="D167" s="140">
        <v>183</v>
      </c>
      <c r="E167" s="119">
        <v>0</v>
      </c>
      <c r="F167" s="120">
        <f t="shared" si="10"/>
        <v>0</v>
      </c>
      <c r="G167" s="121">
        <v>70</v>
      </c>
      <c r="H167" s="121">
        <f t="shared" si="11"/>
        <v>0</v>
      </c>
      <c r="I167" s="121">
        <f t="shared" si="12"/>
        <v>0</v>
      </c>
      <c r="J167" s="122">
        <f t="shared" si="6"/>
        <v>0</v>
      </c>
    </row>
    <row r="168" spans="1:10" s="123" customFormat="1" ht="15" customHeight="1" hidden="1" outlineLevel="3">
      <c r="A168" s="102" t="s">
        <v>492</v>
      </c>
      <c r="B168" s="120" t="s">
        <v>491</v>
      </c>
      <c r="C168" s="141">
        <v>0.02</v>
      </c>
      <c r="D168" s="140">
        <v>52</v>
      </c>
      <c r="E168" s="119">
        <v>0</v>
      </c>
      <c r="F168" s="120">
        <f t="shared" si="10"/>
        <v>0</v>
      </c>
      <c r="G168" s="121">
        <v>70</v>
      </c>
      <c r="H168" s="121">
        <f t="shared" si="11"/>
        <v>0</v>
      </c>
      <c r="I168" s="121">
        <f t="shared" si="12"/>
        <v>0</v>
      </c>
      <c r="J168" s="122">
        <f t="shared" si="6"/>
        <v>0</v>
      </c>
    </row>
    <row r="169" spans="1:10" s="123" customFormat="1" ht="15" customHeight="1" hidden="1" outlineLevel="3">
      <c r="A169" s="102" t="s">
        <v>493</v>
      </c>
      <c r="B169" s="120" t="s">
        <v>494</v>
      </c>
      <c r="C169" s="141">
        <f>1.5/100</f>
        <v>0.015</v>
      </c>
      <c r="D169" s="140">
        <v>12</v>
      </c>
      <c r="E169" s="119">
        <v>0</v>
      </c>
      <c r="F169" s="120">
        <f t="shared" si="10"/>
        <v>0</v>
      </c>
      <c r="G169" s="121">
        <v>70</v>
      </c>
      <c r="H169" s="121">
        <f t="shared" si="11"/>
        <v>0</v>
      </c>
      <c r="I169" s="121">
        <f t="shared" si="12"/>
        <v>0</v>
      </c>
      <c r="J169" s="122">
        <f t="shared" si="6"/>
        <v>0</v>
      </c>
    </row>
    <row r="170" spans="1:10" s="123" customFormat="1" ht="15" customHeight="1" hidden="1" outlineLevel="3">
      <c r="A170" s="102" t="s">
        <v>495</v>
      </c>
      <c r="B170" s="120" t="s">
        <v>494</v>
      </c>
      <c r="C170" s="141">
        <f>5.38/100</f>
        <v>0.0538</v>
      </c>
      <c r="D170" s="140">
        <v>12</v>
      </c>
      <c r="E170" s="119">
        <v>0</v>
      </c>
      <c r="F170" s="120">
        <f t="shared" si="10"/>
        <v>0</v>
      </c>
      <c r="G170" s="121">
        <v>30</v>
      </c>
      <c r="H170" s="121">
        <f t="shared" si="11"/>
        <v>0</v>
      </c>
      <c r="I170" s="121">
        <f t="shared" si="12"/>
        <v>0</v>
      </c>
      <c r="J170" s="122">
        <f t="shared" si="6"/>
        <v>0</v>
      </c>
    </row>
    <row r="171" spans="1:10" s="123" customFormat="1" ht="15" customHeight="1" hidden="1" outlineLevel="3">
      <c r="A171" s="102" t="s">
        <v>496</v>
      </c>
      <c r="B171" s="120" t="s">
        <v>497</v>
      </c>
      <c r="C171" s="141">
        <f>1/60</f>
        <v>0.016666666666666666</v>
      </c>
      <c r="D171" s="140">
        <v>12</v>
      </c>
      <c r="E171" s="119">
        <v>0</v>
      </c>
      <c r="F171" s="120">
        <f t="shared" si="10"/>
        <v>0</v>
      </c>
      <c r="G171" s="121">
        <v>7800</v>
      </c>
      <c r="H171" s="121">
        <f t="shared" si="11"/>
        <v>0</v>
      </c>
      <c r="I171" s="121">
        <f t="shared" si="12"/>
        <v>0</v>
      </c>
      <c r="J171" s="122">
        <f aca="true" t="shared" si="13" ref="J171:J202">I171/$E$8</f>
        <v>0</v>
      </c>
    </row>
    <row r="172" spans="1:10" s="69" customFormat="1" ht="15" customHeight="1" hidden="1" outlineLevel="1">
      <c r="A172" s="142" t="s">
        <v>498</v>
      </c>
      <c r="B172" s="115" t="s">
        <v>364</v>
      </c>
      <c r="C172" s="115" t="s">
        <v>364</v>
      </c>
      <c r="D172" s="143" t="s">
        <v>364</v>
      </c>
      <c r="E172" s="116" t="s">
        <v>364</v>
      </c>
      <c r="F172" s="115" t="s">
        <v>364</v>
      </c>
      <c r="G172" s="144" t="s">
        <v>364</v>
      </c>
      <c r="H172" s="116">
        <v>0</v>
      </c>
      <c r="I172" s="116">
        <f>H172/12</f>
        <v>0</v>
      </c>
      <c r="J172" s="117">
        <f t="shared" si="13"/>
        <v>0</v>
      </c>
    </row>
    <row r="173" spans="1:10" ht="31.5" collapsed="1" thickBot="1">
      <c r="A173" s="145" t="s">
        <v>289</v>
      </c>
      <c r="B173" s="93" t="s">
        <v>359</v>
      </c>
      <c r="C173" s="93" t="s">
        <v>360</v>
      </c>
      <c r="D173" s="93" t="s">
        <v>361</v>
      </c>
      <c r="E173" s="93" t="s">
        <v>329</v>
      </c>
      <c r="F173" s="93" t="s">
        <v>362</v>
      </c>
      <c r="G173" s="94" t="s">
        <v>363</v>
      </c>
      <c r="H173" s="95">
        <v>4786.36</v>
      </c>
      <c r="I173" s="95">
        <f>H173/12</f>
        <v>398.8633333333333</v>
      </c>
      <c r="J173" s="96">
        <f t="shared" si="13"/>
        <v>0.15275682024178824</v>
      </c>
    </row>
    <row r="174" spans="1:10" s="69" customFormat="1" ht="15" customHeight="1" hidden="1" outlineLevel="1" collapsed="1">
      <c r="A174" s="98" t="s">
        <v>499</v>
      </c>
      <c r="B174" s="99" t="s">
        <v>500</v>
      </c>
      <c r="C174" s="99" t="s">
        <v>364</v>
      </c>
      <c r="D174" s="146" t="s">
        <v>364</v>
      </c>
      <c r="E174" s="99" t="s">
        <v>364</v>
      </c>
      <c r="F174" s="99">
        <f>SUM(F175:F177)</f>
        <v>55.3804</v>
      </c>
      <c r="G174" s="100">
        <v>36.14</v>
      </c>
      <c r="H174" s="100">
        <f>F174*G174</f>
        <v>2001.447656</v>
      </c>
      <c r="I174" s="100">
        <f>H174/12</f>
        <v>166.78730466666667</v>
      </c>
      <c r="J174" s="101">
        <f t="shared" si="13"/>
        <v>0.06387626083515249</v>
      </c>
    </row>
    <row r="175" spans="1:10" s="105" customFormat="1" ht="15" customHeight="1" hidden="1" outlineLevel="3">
      <c r="A175" s="136" t="s">
        <v>501</v>
      </c>
      <c r="B175" s="147" t="s">
        <v>502</v>
      </c>
      <c r="C175" s="147">
        <v>0.012</v>
      </c>
      <c r="D175" s="147">
        <v>1</v>
      </c>
      <c r="E175" s="112">
        <f>E11</f>
        <v>0</v>
      </c>
      <c r="F175" s="110">
        <f>C175*D175*E175</f>
        <v>0</v>
      </c>
      <c r="G175" s="111"/>
      <c r="H175" s="110"/>
      <c r="I175" s="148"/>
      <c r="J175" s="149">
        <f t="shared" si="13"/>
        <v>0</v>
      </c>
    </row>
    <row r="176" spans="1:10" s="105" customFormat="1" ht="15" customHeight="1" hidden="1" outlineLevel="3">
      <c r="A176" s="136" t="s">
        <v>503</v>
      </c>
      <c r="B176" s="147" t="s">
        <v>502</v>
      </c>
      <c r="C176" s="147">
        <v>0.012</v>
      </c>
      <c r="D176" s="147">
        <v>2</v>
      </c>
      <c r="E176" s="110">
        <f>E10</f>
        <v>607.1</v>
      </c>
      <c r="F176" s="110">
        <f>C176*D176*E176</f>
        <v>14.570400000000001</v>
      </c>
      <c r="G176" s="111"/>
      <c r="H176" s="148"/>
      <c r="I176" s="148"/>
      <c r="J176" s="149">
        <f t="shared" si="13"/>
        <v>0</v>
      </c>
    </row>
    <row r="177" spans="1:10" s="105" customFormat="1" ht="15" customHeight="1" hidden="1" outlineLevel="3">
      <c r="A177" s="136" t="s">
        <v>504</v>
      </c>
      <c r="B177" s="147" t="s">
        <v>379</v>
      </c>
      <c r="C177" s="147">
        <v>0.014</v>
      </c>
      <c r="D177" s="147">
        <v>5</v>
      </c>
      <c r="E177" s="110">
        <f>E18+E19</f>
        <v>583</v>
      </c>
      <c r="F177" s="110">
        <f>C177*D177*E177</f>
        <v>40.81</v>
      </c>
      <c r="G177" s="111"/>
      <c r="H177" s="148"/>
      <c r="I177" s="148"/>
      <c r="J177" s="149">
        <f t="shared" si="13"/>
        <v>0</v>
      </c>
    </row>
    <row r="178" spans="1:10" s="69" customFormat="1" ht="15" customHeight="1" hidden="1" outlineLevel="1">
      <c r="A178" s="106" t="s">
        <v>365</v>
      </c>
      <c r="B178" s="68" t="s">
        <v>364</v>
      </c>
      <c r="C178" s="68" t="s">
        <v>364</v>
      </c>
      <c r="D178" s="68" t="s">
        <v>364</v>
      </c>
      <c r="E178" s="68" t="s">
        <v>364</v>
      </c>
      <c r="F178" s="68">
        <f>H174</f>
        <v>2001.447656</v>
      </c>
      <c r="G178" s="107">
        <v>0.5</v>
      </c>
      <c r="H178" s="108">
        <f>F178*G178</f>
        <v>1000.723828</v>
      </c>
      <c r="I178" s="108">
        <f aca="true" t="shared" si="14" ref="I178:I205">H178/12</f>
        <v>83.39365233333334</v>
      </c>
      <c r="J178" s="109">
        <f t="shared" si="13"/>
        <v>0.031938130417576246</v>
      </c>
    </row>
    <row r="179" spans="1:10" s="69" customFormat="1" ht="15" customHeight="1" hidden="1" outlineLevel="1">
      <c r="A179" s="106" t="s">
        <v>366</v>
      </c>
      <c r="B179" s="68" t="s">
        <v>364</v>
      </c>
      <c r="C179" s="68" t="s">
        <v>364</v>
      </c>
      <c r="D179" s="68" t="s">
        <v>364</v>
      </c>
      <c r="E179" s="68" t="s">
        <v>364</v>
      </c>
      <c r="F179" s="68">
        <f>(H174+H178)</f>
        <v>3002.171484</v>
      </c>
      <c r="G179" s="107">
        <v>0.12</v>
      </c>
      <c r="H179" s="108">
        <f>F179*G179</f>
        <v>360.26057807999996</v>
      </c>
      <c r="I179" s="108">
        <f t="shared" si="14"/>
        <v>30.021714839999998</v>
      </c>
      <c r="J179" s="109">
        <f t="shared" si="13"/>
        <v>0.011497726950327448</v>
      </c>
    </row>
    <row r="180" spans="1:10" s="69" customFormat="1" ht="15" customHeight="1" hidden="1" outlineLevel="1">
      <c r="A180" s="106" t="s">
        <v>367</v>
      </c>
      <c r="B180" s="68" t="s">
        <v>364</v>
      </c>
      <c r="C180" s="68" t="s">
        <v>364</v>
      </c>
      <c r="D180" s="68" t="s">
        <v>364</v>
      </c>
      <c r="E180" s="68" t="s">
        <v>364</v>
      </c>
      <c r="F180" s="68">
        <f>(H174+H178+H179)</f>
        <v>3362.43206208</v>
      </c>
      <c r="G180" s="107">
        <v>0.262</v>
      </c>
      <c r="H180" s="108">
        <f>F180*G180</f>
        <v>880.95720026496</v>
      </c>
      <c r="I180" s="108">
        <f t="shared" si="14"/>
        <v>73.41310002208</v>
      </c>
      <c r="J180" s="109">
        <f t="shared" si="13"/>
        <v>0.028115774969200723</v>
      </c>
    </row>
    <row r="181" spans="1:10" s="69" customFormat="1" ht="15" customHeight="1" hidden="1" outlineLevel="1" collapsed="1">
      <c r="A181" s="106" t="s">
        <v>60</v>
      </c>
      <c r="B181" s="68" t="s">
        <v>364</v>
      </c>
      <c r="C181" s="124" t="s">
        <v>364</v>
      </c>
      <c r="D181" s="124" t="s">
        <v>364</v>
      </c>
      <c r="E181" s="124" t="s">
        <v>364</v>
      </c>
      <c r="F181" s="68" t="s">
        <v>364</v>
      </c>
      <c r="G181" s="67" t="s">
        <v>364</v>
      </c>
      <c r="H181" s="108">
        <f>SUM(H182:H184)</f>
        <v>542.973</v>
      </c>
      <c r="I181" s="108">
        <f t="shared" si="14"/>
        <v>45.247749999999996</v>
      </c>
      <c r="J181" s="109">
        <f t="shared" si="13"/>
        <v>0.017328999272337327</v>
      </c>
    </row>
    <row r="182" spans="1:10" ht="15" customHeight="1" hidden="1" outlineLevel="2">
      <c r="A182" s="126" t="s">
        <v>505</v>
      </c>
      <c r="B182" s="120"/>
      <c r="C182" s="150">
        <v>0.0002</v>
      </c>
      <c r="D182" s="134">
        <v>2</v>
      </c>
      <c r="E182" s="120">
        <v>3755</v>
      </c>
      <c r="F182" s="120">
        <f>C182*D182*E182</f>
        <v>1.502</v>
      </c>
      <c r="G182" s="121">
        <v>120</v>
      </c>
      <c r="H182" s="121">
        <f>F182*G182</f>
        <v>180.24</v>
      </c>
      <c r="I182" s="121">
        <f t="shared" si="14"/>
        <v>15.020000000000001</v>
      </c>
      <c r="J182" s="122">
        <f t="shared" si="13"/>
        <v>0.0057523649036804415</v>
      </c>
    </row>
    <row r="183" spans="1:10" ht="15" customHeight="1" hidden="1" outlineLevel="2">
      <c r="A183" s="126" t="s">
        <v>506</v>
      </c>
      <c r="B183" s="120"/>
      <c r="C183" s="150">
        <v>0.001</v>
      </c>
      <c r="D183" s="134">
        <v>2</v>
      </c>
      <c r="E183" s="120">
        <v>3755</v>
      </c>
      <c r="F183" s="120">
        <f>C183*D183*E183</f>
        <v>7.51</v>
      </c>
      <c r="G183" s="121">
        <v>23.3</v>
      </c>
      <c r="H183" s="121">
        <f>F183*G183</f>
        <v>174.983</v>
      </c>
      <c r="I183" s="121">
        <f t="shared" si="14"/>
        <v>14.581916666666666</v>
      </c>
      <c r="J183" s="122">
        <f t="shared" si="13"/>
        <v>0.005584587593989762</v>
      </c>
    </row>
    <row r="184" spans="1:10" ht="15" customHeight="1" hidden="1" outlineLevel="2">
      <c r="A184" s="126" t="s">
        <v>507</v>
      </c>
      <c r="B184" s="120"/>
      <c r="C184" s="150">
        <v>0.0001</v>
      </c>
      <c r="D184" s="134">
        <v>2</v>
      </c>
      <c r="E184" s="120">
        <v>3755</v>
      </c>
      <c r="F184" s="120">
        <f>C184*D184*E184</f>
        <v>0.751</v>
      </c>
      <c r="G184" s="121">
        <v>250</v>
      </c>
      <c r="H184" s="121">
        <f>F184*G184</f>
        <v>187.75</v>
      </c>
      <c r="I184" s="121">
        <f t="shared" si="14"/>
        <v>15.645833333333334</v>
      </c>
      <c r="J184" s="122">
        <f t="shared" si="13"/>
        <v>0.0059920467746671265</v>
      </c>
    </row>
    <row r="185" spans="1:10" s="69" customFormat="1" ht="15" customHeight="1" hidden="1" outlineLevel="1">
      <c r="A185" s="114" t="s">
        <v>508</v>
      </c>
      <c r="B185" s="115" t="s">
        <v>364</v>
      </c>
      <c r="C185" s="151" t="s">
        <v>364</v>
      </c>
      <c r="D185" s="151" t="s">
        <v>364</v>
      </c>
      <c r="E185" s="151" t="s">
        <v>364</v>
      </c>
      <c r="F185" s="115" t="s">
        <v>364</v>
      </c>
      <c r="G185" s="144" t="s">
        <v>364</v>
      </c>
      <c r="H185" s="116">
        <v>0</v>
      </c>
      <c r="I185" s="116">
        <f t="shared" si="14"/>
        <v>0</v>
      </c>
      <c r="J185" s="117">
        <f t="shared" si="13"/>
        <v>0</v>
      </c>
    </row>
    <row r="186" spans="1:10" s="69" customFormat="1" ht="30" customHeight="1" collapsed="1" thickBot="1">
      <c r="A186" s="152" t="s">
        <v>301</v>
      </c>
      <c r="B186" s="153" t="s">
        <v>359</v>
      </c>
      <c r="C186" s="153" t="s">
        <v>360</v>
      </c>
      <c r="D186" s="153" t="s">
        <v>361</v>
      </c>
      <c r="E186" s="153" t="s">
        <v>329</v>
      </c>
      <c r="F186" s="153" t="s">
        <v>362</v>
      </c>
      <c r="G186" s="154" t="s">
        <v>363</v>
      </c>
      <c r="H186" s="155">
        <v>115436.03</v>
      </c>
      <c r="I186" s="155">
        <f t="shared" si="14"/>
        <v>9619.669166666667</v>
      </c>
      <c r="J186" s="156">
        <f t="shared" si="13"/>
        <v>3.6841442942310394</v>
      </c>
    </row>
    <row r="187" spans="1:10" s="69" customFormat="1" ht="31.5" thickBot="1">
      <c r="A187" s="92" t="s">
        <v>286</v>
      </c>
      <c r="B187" s="157"/>
      <c r="C187" s="158"/>
      <c r="D187" s="93" t="s">
        <v>361</v>
      </c>
      <c r="E187" s="93" t="s">
        <v>329</v>
      </c>
      <c r="F187" s="93" t="s">
        <v>362</v>
      </c>
      <c r="G187" s="159" t="s">
        <v>363</v>
      </c>
      <c r="H187" s="95">
        <v>83029.8</v>
      </c>
      <c r="I187" s="95">
        <f t="shared" si="14"/>
        <v>6919.150000000001</v>
      </c>
      <c r="J187" s="96">
        <f t="shared" si="13"/>
        <v>2.6498985102064267</v>
      </c>
    </row>
    <row r="188" spans="1:10" s="69" customFormat="1" ht="15" customHeight="1">
      <c r="A188" s="98" t="s">
        <v>276</v>
      </c>
      <c r="B188" s="99" t="s">
        <v>364</v>
      </c>
      <c r="C188" s="99" t="s">
        <v>364</v>
      </c>
      <c r="D188" s="160">
        <v>12</v>
      </c>
      <c r="E188" s="99">
        <f>E8</f>
        <v>2611.1</v>
      </c>
      <c r="F188" s="99">
        <f>D188*E188</f>
        <v>31333.199999999997</v>
      </c>
      <c r="G188" s="146">
        <v>0.44</v>
      </c>
      <c r="H188" s="100">
        <f>F188*G188</f>
        <v>13786.607999999998</v>
      </c>
      <c r="I188" s="100">
        <f t="shared" si="14"/>
        <v>1148.8839999999998</v>
      </c>
      <c r="J188" s="101">
        <f t="shared" si="13"/>
        <v>0.43999999999999995</v>
      </c>
    </row>
    <row r="189" spans="1:10" s="69" customFormat="1" ht="15" customHeight="1" hidden="1">
      <c r="A189" s="106" t="s">
        <v>277</v>
      </c>
      <c r="B189" s="68" t="s">
        <v>364</v>
      </c>
      <c r="C189" s="68" t="s">
        <v>364</v>
      </c>
      <c r="D189" s="67">
        <v>12</v>
      </c>
      <c r="E189" s="68">
        <f>E10</f>
        <v>607.1</v>
      </c>
      <c r="F189" s="68">
        <f>D189*E189</f>
        <v>7285.200000000001</v>
      </c>
      <c r="G189" s="139">
        <v>0</v>
      </c>
      <c r="H189" s="108">
        <f aca="true" t="shared" si="15" ref="H189:H201">F189*G189</f>
        <v>0</v>
      </c>
      <c r="I189" s="108">
        <f t="shared" si="14"/>
        <v>0</v>
      </c>
      <c r="J189" s="109">
        <f t="shared" si="13"/>
        <v>0</v>
      </c>
    </row>
    <row r="190" spans="1:10" s="69" customFormat="1" ht="15" customHeight="1">
      <c r="A190" s="106" t="s">
        <v>278</v>
      </c>
      <c r="B190" s="68" t="s">
        <v>364</v>
      </c>
      <c r="C190" s="68" t="s">
        <v>364</v>
      </c>
      <c r="D190" s="67">
        <v>1</v>
      </c>
      <c r="E190" s="68">
        <f>E10</f>
        <v>607.1</v>
      </c>
      <c r="F190" s="68">
        <f>D190*E190</f>
        <v>607.1</v>
      </c>
      <c r="G190" s="139">
        <v>3.12</v>
      </c>
      <c r="H190" s="108">
        <f>F190*G190</f>
        <v>1894.152</v>
      </c>
      <c r="I190" s="108">
        <f t="shared" si="14"/>
        <v>157.846</v>
      </c>
      <c r="J190" s="109">
        <f t="shared" si="13"/>
        <v>0.06045191681666731</v>
      </c>
    </row>
    <row r="191" spans="1:10" s="69" customFormat="1" ht="15" customHeight="1">
      <c r="A191" s="106" t="s">
        <v>285</v>
      </c>
      <c r="B191" s="68" t="s">
        <v>364</v>
      </c>
      <c r="C191" s="68" t="s">
        <v>364</v>
      </c>
      <c r="D191" s="67">
        <v>12</v>
      </c>
      <c r="E191" s="68">
        <f>E9</f>
        <v>23</v>
      </c>
      <c r="F191" s="68">
        <f>D191*E191</f>
        <v>276</v>
      </c>
      <c r="G191" s="139">
        <v>25</v>
      </c>
      <c r="H191" s="108">
        <f t="shared" si="15"/>
        <v>6900</v>
      </c>
      <c r="I191" s="108">
        <f t="shared" si="14"/>
        <v>575</v>
      </c>
      <c r="J191" s="109">
        <f t="shared" si="13"/>
        <v>0.22021370303703422</v>
      </c>
    </row>
    <row r="192" spans="1:10" s="69" customFormat="1" ht="15" customHeight="1">
      <c r="A192" s="106" t="s">
        <v>290</v>
      </c>
      <c r="B192" s="68" t="s">
        <v>364</v>
      </c>
      <c r="C192" s="68" t="s">
        <v>364</v>
      </c>
      <c r="D192" s="67">
        <v>12</v>
      </c>
      <c r="E192" s="68">
        <v>11</v>
      </c>
      <c r="F192" s="68">
        <f>D192*E192</f>
        <v>132</v>
      </c>
      <c r="G192" s="139">
        <v>265.62</v>
      </c>
      <c r="H192" s="108">
        <f t="shared" si="15"/>
        <v>35061.840000000004</v>
      </c>
      <c r="I192" s="108">
        <f t="shared" si="14"/>
        <v>2921.82</v>
      </c>
      <c r="J192" s="109">
        <f t="shared" si="13"/>
        <v>1.1189996553176822</v>
      </c>
    </row>
    <row r="193" spans="1:10" s="69" customFormat="1" ht="15" customHeight="1" hidden="1">
      <c r="A193" s="106" t="s">
        <v>291</v>
      </c>
      <c r="B193" s="68" t="s">
        <v>364</v>
      </c>
      <c r="C193" s="68" t="s">
        <v>364</v>
      </c>
      <c r="D193" s="67">
        <v>12</v>
      </c>
      <c r="E193" s="68">
        <v>0</v>
      </c>
      <c r="F193" s="68">
        <f aca="true" t="shared" si="16" ref="F193:F201">D193*E193</f>
        <v>0</v>
      </c>
      <c r="G193" s="139">
        <f>216.11*1.18</f>
        <v>255.0098</v>
      </c>
      <c r="H193" s="108">
        <f t="shared" si="15"/>
        <v>0</v>
      </c>
      <c r="I193" s="108">
        <f t="shared" si="14"/>
        <v>0</v>
      </c>
      <c r="J193" s="109">
        <f t="shared" si="13"/>
        <v>0</v>
      </c>
    </row>
    <row r="194" spans="1:10" s="69" customFormat="1" ht="15" customHeight="1">
      <c r="A194" s="106" t="s">
        <v>297</v>
      </c>
      <c r="B194" s="68" t="s">
        <v>364</v>
      </c>
      <c r="C194" s="68" t="s">
        <v>364</v>
      </c>
      <c r="D194" s="67">
        <v>1</v>
      </c>
      <c r="E194" s="68">
        <f>E29</f>
        <v>23</v>
      </c>
      <c r="F194" s="68">
        <f>E194*D194</f>
        <v>23</v>
      </c>
      <c r="G194" s="139">
        <v>11</v>
      </c>
      <c r="H194" s="108">
        <f>F194*G194</f>
        <v>253</v>
      </c>
      <c r="I194" s="108">
        <f t="shared" si="14"/>
        <v>21.083333333333332</v>
      </c>
      <c r="J194" s="109">
        <f t="shared" si="13"/>
        <v>0.008074502444691253</v>
      </c>
    </row>
    <row r="195" spans="1:10" s="69" customFormat="1" ht="15" customHeight="1">
      <c r="A195" s="106" t="s">
        <v>298</v>
      </c>
      <c r="B195" s="68" t="s">
        <v>364</v>
      </c>
      <c r="C195" s="68" t="s">
        <v>364</v>
      </c>
      <c r="D195" s="67">
        <v>4</v>
      </c>
      <c r="E195" s="68">
        <f>E30</f>
        <v>23</v>
      </c>
      <c r="F195" s="68">
        <f>E195*D195</f>
        <v>92</v>
      </c>
      <c r="G195" s="139">
        <v>19</v>
      </c>
      <c r="H195" s="108">
        <f>F195*G195</f>
        <v>1748</v>
      </c>
      <c r="I195" s="108">
        <f t="shared" si="14"/>
        <v>145.66666666666666</v>
      </c>
      <c r="J195" s="109">
        <f t="shared" si="13"/>
        <v>0.05578747143604866</v>
      </c>
    </row>
    <row r="196" spans="1:10" s="69" customFormat="1" ht="15" customHeight="1" hidden="1">
      <c r="A196" s="106" t="s">
        <v>279</v>
      </c>
      <c r="B196" s="68" t="s">
        <v>364</v>
      </c>
      <c r="C196" s="68" t="s">
        <v>364</v>
      </c>
      <c r="D196" s="67">
        <v>12</v>
      </c>
      <c r="E196" s="68">
        <v>0</v>
      </c>
      <c r="F196" s="68">
        <f t="shared" si="16"/>
        <v>0</v>
      </c>
      <c r="G196" s="139">
        <v>0</v>
      </c>
      <c r="H196" s="108">
        <f t="shared" si="15"/>
        <v>0</v>
      </c>
      <c r="I196" s="108">
        <f t="shared" si="14"/>
        <v>0</v>
      </c>
      <c r="J196" s="109">
        <f t="shared" si="13"/>
        <v>0</v>
      </c>
    </row>
    <row r="197" spans="1:10" s="69" customFormat="1" ht="15" customHeight="1">
      <c r="A197" s="106" t="s">
        <v>295</v>
      </c>
      <c r="B197" s="68" t="s">
        <v>364</v>
      </c>
      <c r="C197" s="68" t="s">
        <v>364</v>
      </c>
      <c r="D197" s="67">
        <v>12</v>
      </c>
      <c r="E197" s="68">
        <v>210</v>
      </c>
      <c r="F197" s="68">
        <f t="shared" si="16"/>
        <v>2520</v>
      </c>
      <c r="G197" s="139">
        <v>2.77</v>
      </c>
      <c r="H197" s="108">
        <f t="shared" si="15"/>
        <v>6980.4</v>
      </c>
      <c r="I197" s="108">
        <f t="shared" si="14"/>
        <v>581.6999999999999</v>
      </c>
      <c r="J197" s="109">
        <f t="shared" si="13"/>
        <v>0.222779671402857</v>
      </c>
    </row>
    <row r="198" spans="1:10" s="69" customFormat="1" ht="15" customHeight="1">
      <c r="A198" s="106" t="s">
        <v>296</v>
      </c>
      <c r="B198" s="68" t="s">
        <v>364</v>
      </c>
      <c r="C198" s="68" t="s">
        <v>364</v>
      </c>
      <c r="D198" s="67">
        <v>12</v>
      </c>
      <c r="E198" s="68">
        <v>140</v>
      </c>
      <c r="F198" s="68">
        <f t="shared" si="16"/>
        <v>1680</v>
      </c>
      <c r="G198" s="139">
        <v>1.28</v>
      </c>
      <c r="H198" s="108">
        <f t="shared" si="15"/>
        <v>2150.4</v>
      </c>
      <c r="I198" s="108">
        <f t="shared" si="14"/>
        <v>179.20000000000002</v>
      </c>
      <c r="J198" s="109">
        <f t="shared" si="13"/>
        <v>0.0686300792769331</v>
      </c>
    </row>
    <row r="199" spans="1:10" s="69" customFormat="1" ht="15" customHeight="1" thickBot="1">
      <c r="A199" s="106" t="s">
        <v>293</v>
      </c>
      <c r="B199" s="68" t="s">
        <v>364</v>
      </c>
      <c r="C199" s="68" t="s">
        <v>364</v>
      </c>
      <c r="D199" s="67">
        <v>12</v>
      </c>
      <c r="E199" s="68">
        <f>IF(E33=0,E9,0)</f>
        <v>23</v>
      </c>
      <c r="F199" s="68">
        <f t="shared" si="16"/>
        <v>276</v>
      </c>
      <c r="G199" s="139">
        <v>51.65</v>
      </c>
      <c r="H199" s="108">
        <f t="shared" si="15"/>
        <v>14255.4</v>
      </c>
      <c r="I199" s="108">
        <f t="shared" si="14"/>
        <v>1187.95</v>
      </c>
      <c r="J199" s="109">
        <f t="shared" si="13"/>
        <v>0.45496151047451266</v>
      </c>
    </row>
    <row r="200" spans="1:10" s="69" customFormat="1" ht="15" customHeight="1" hidden="1">
      <c r="A200" s="106" t="s">
        <v>292</v>
      </c>
      <c r="B200" s="68" t="s">
        <v>364</v>
      </c>
      <c r="C200" s="68" t="s">
        <v>364</v>
      </c>
      <c r="D200" s="67">
        <v>0</v>
      </c>
      <c r="E200" s="68">
        <f>E9</f>
        <v>23</v>
      </c>
      <c r="F200" s="68">
        <f>D200*E200</f>
        <v>0</v>
      </c>
      <c r="G200" s="139">
        <f>51.65+4.6*1.07</f>
        <v>56.571999999999996</v>
      </c>
      <c r="H200" s="108">
        <f>F200*G200</f>
        <v>0</v>
      </c>
      <c r="I200" s="108">
        <f>H200/12</f>
        <v>0</v>
      </c>
      <c r="J200" s="109">
        <f t="shared" si="13"/>
        <v>0</v>
      </c>
    </row>
    <row r="201" spans="1:10" s="69" customFormat="1" ht="15" customHeight="1" hidden="1">
      <c r="A201" s="114" t="s">
        <v>280</v>
      </c>
      <c r="B201" s="115" t="s">
        <v>364</v>
      </c>
      <c r="C201" s="115" t="s">
        <v>364</v>
      </c>
      <c r="D201" s="144">
        <v>12</v>
      </c>
      <c r="E201" s="115">
        <v>0</v>
      </c>
      <c r="F201" s="115">
        <f t="shared" si="16"/>
        <v>0</v>
      </c>
      <c r="G201" s="143">
        <v>0</v>
      </c>
      <c r="H201" s="116">
        <f t="shared" si="15"/>
        <v>0</v>
      </c>
      <c r="I201" s="116">
        <f t="shared" si="14"/>
        <v>0</v>
      </c>
      <c r="J201" s="117">
        <f t="shared" si="13"/>
        <v>0</v>
      </c>
    </row>
    <row r="202" spans="1:10" s="69" customFormat="1" ht="15" customHeight="1">
      <c r="A202" s="161" t="s">
        <v>283</v>
      </c>
      <c r="B202" s="99"/>
      <c r="C202" s="99"/>
      <c r="D202" s="146"/>
      <c r="E202" s="99"/>
      <c r="F202" s="99"/>
      <c r="G202" s="160"/>
      <c r="H202" s="100">
        <f>H187+H186+H173+H49+H45+H44+H43</f>
        <v>504412.26999999996</v>
      </c>
      <c r="I202" s="100">
        <f t="shared" si="14"/>
        <v>42034.35583333333</v>
      </c>
      <c r="J202" s="101">
        <f t="shared" si="13"/>
        <v>16.098332439712507</v>
      </c>
    </row>
    <row r="203" spans="1:10" s="69" customFormat="1" ht="15" customHeight="1">
      <c r="A203" s="162" t="s">
        <v>272</v>
      </c>
      <c r="B203" s="68"/>
      <c r="C203" s="68"/>
      <c r="D203" s="139"/>
      <c r="E203" s="68"/>
      <c r="F203" s="68"/>
      <c r="G203" s="107">
        <v>0.07</v>
      </c>
      <c r="H203" s="108">
        <f>H202*G203</f>
        <v>35308.8589</v>
      </c>
      <c r="I203" s="108">
        <f t="shared" si="14"/>
        <v>2942.4049083333334</v>
      </c>
      <c r="J203" s="109">
        <f>I203/$E$8</f>
        <v>1.1268832707798757</v>
      </c>
    </row>
    <row r="204" spans="1:10" s="69" customFormat="1" ht="15" customHeight="1">
      <c r="A204" s="162" t="s">
        <v>281</v>
      </c>
      <c r="B204" s="68"/>
      <c r="C204" s="68"/>
      <c r="D204" s="139">
        <v>12</v>
      </c>
      <c r="E204" s="68">
        <f>E8</f>
        <v>2611.1</v>
      </c>
      <c r="F204" s="68">
        <f>D204*E204</f>
        <v>31333.199999999997</v>
      </c>
      <c r="G204" s="108">
        <v>17.4</v>
      </c>
      <c r="H204" s="108">
        <f>F204*G204</f>
        <v>545197.6799999999</v>
      </c>
      <c r="I204" s="108">
        <f t="shared" si="14"/>
        <v>45433.13999999999</v>
      </c>
      <c r="J204" s="109">
        <f>I204/$E$8</f>
        <v>17.4</v>
      </c>
    </row>
    <row r="205" spans="1:10" s="69" customFormat="1" ht="15" customHeight="1" thickBot="1">
      <c r="A205" s="162" t="s">
        <v>284</v>
      </c>
      <c r="B205" s="68"/>
      <c r="C205" s="68"/>
      <c r="D205" s="139"/>
      <c r="E205" s="68"/>
      <c r="F205" s="68"/>
      <c r="G205" s="107">
        <v>0.01</v>
      </c>
      <c r="H205" s="108">
        <f>H204*G205</f>
        <v>5451.9767999999995</v>
      </c>
      <c r="I205" s="108">
        <f t="shared" si="14"/>
        <v>454.3314</v>
      </c>
      <c r="J205" s="109">
        <f>I205/$E$8</f>
        <v>0.174</v>
      </c>
    </row>
    <row r="206" spans="1:10" ht="21.75" customHeight="1">
      <c r="A206" s="422" t="s">
        <v>302</v>
      </c>
      <c r="B206" s="423"/>
      <c r="C206" s="423"/>
      <c r="D206" s="423"/>
      <c r="E206" s="423"/>
      <c r="F206" s="423"/>
      <c r="G206" s="423"/>
      <c r="H206" s="423"/>
      <c r="I206" s="423"/>
      <c r="J206" s="230">
        <f>J43+J44+J45+J173+J186+J187+J203+J205</f>
        <v>17.39921571049238</v>
      </c>
    </row>
    <row r="207" spans="1:10" ht="21.75" customHeight="1">
      <c r="A207" s="415" t="s">
        <v>0</v>
      </c>
      <c r="B207" s="416"/>
      <c r="C207" s="416"/>
      <c r="D207" s="416"/>
      <c r="E207" s="416"/>
      <c r="F207" s="416"/>
      <c r="G207" s="416"/>
      <c r="H207" s="416"/>
      <c r="I207" s="416"/>
      <c r="J207" s="64">
        <v>2.5</v>
      </c>
    </row>
    <row r="208" spans="1:10" ht="21.75" customHeight="1" thickBot="1">
      <c r="A208" s="417" t="s">
        <v>299</v>
      </c>
      <c r="B208" s="418"/>
      <c r="C208" s="418"/>
      <c r="D208" s="418"/>
      <c r="E208" s="418"/>
      <c r="F208" s="418"/>
      <c r="G208" s="418"/>
      <c r="H208" s="418"/>
      <c r="I208" s="418">
        <v>500</v>
      </c>
      <c r="J208" s="65">
        <v>500</v>
      </c>
    </row>
    <row r="210" spans="1:10" ht="15" customHeight="1">
      <c r="A210" s="165" t="s">
        <v>509</v>
      </c>
      <c r="B210" s="166"/>
      <c r="C210" s="166"/>
      <c r="D210" s="166"/>
      <c r="E210" s="167"/>
      <c r="F210" s="167"/>
      <c r="G210" s="166"/>
      <c r="H210" s="168"/>
      <c r="I210" s="169" t="s">
        <v>510</v>
      </c>
      <c r="J210" s="169"/>
    </row>
    <row r="211" spans="1:10" ht="15" customHeight="1">
      <c r="A211" s="170"/>
      <c r="B211" s="166"/>
      <c r="C211" s="166"/>
      <c r="D211" s="166"/>
      <c r="E211" s="167"/>
      <c r="F211" s="167"/>
      <c r="G211" s="166"/>
      <c r="H211" s="171">
        <v>40541</v>
      </c>
      <c r="I211" s="169"/>
      <c r="J211" s="169"/>
    </row>
  </sheetData>
  <mergeCells count="6">
    <mergeCell ref="A207:I207"/>
    <mergeCell ref="A208:I208"/>
    <mergeCell ref="A5:I5"/>
    <mergeCell ref="B6:C6"/>
    <mergeCell ref="A42:F42"/>
    <mergeCell ref="A206:I20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8"/>
  <sheetViews>
    <sheetView workbookViewId="0" topLeftCell="A1">
      <selection activeCell="A208" sqref="A208"/>
    </sheetView>
  </sheetViews>
  <sheetFormatPr defaultColWidth="9.00390625" defaultRowHeight="15.75" customHeight="1" outlineLevelRow="3" outlineLevelCol="1"/>
  <cols>
    <col min="1" max="1" width="60.50390625" style="72" customWidth="1" collapsed="1"/>
    <col min="2" max="2" width="8.375" style="163" hidden="1" customWidth="1" outlineLevel="1"/>
    <col min="3" max="4" width="10.125" style="163" hidden="1" customWidth="1" outlineLevel="1"/>
    <col min="5" max="5" width="11.50390625" style="128" hidden="1" customWidth="1" outlineLevel="1"/>
    <col min="6" max="6" width="15.50390625" style="128" hidden="1" customWidth="1" outlineLevel="1"/>
    <col min="7" max="7" width="16.50390625" style="163" hidden="1" customWidth="1" outlineLevel="1"/>
    <col min="8" max="8" width="16.875" style="164" customWidth="1" collapsed="1"/>
    <col min="9" max="10" width="15.50390625" style="164" customWidth="1"/>
    <col min="11" max="11" width="22.00390625" style="164" customWidth="1"/>
    <col min="12" max="16384" width="9.125" style="72" customWidth="1"/>
  </cols>
  <sheetData>
    <row r="1" spans="1:11" s="69" customFormat="1" ht="15.75" customHeight="1">
      <c r="A1" s="83" t="s">
        <v>323</v>
      </c>
      <c r="B1" s="75"/>
      <c r="C1" s="75"/>
      <c r="D1" s="75"/>
      <c r="E1" s="74"/>
      <c r="F1" s="74"/>
      <c r="G1" s="424" t="s">
        <v>323</v>
      </c>
      <c r="H1" s="424"/>
      <c r="I1" s="424"/>
      <c r="J1" s="424"/>
      <c r="K1" s="424"/>
    </row>
    <row r="2" spans="1:11" s="69" customFormat="1" ht="15.75" customHeight="1">
      <c r="A2" s="172" t="s">
        <v>512</v>
      </c>
      <c r="B2" s="75"/>
      <c r="C2" s="75"/>
      <c r="D2" s="75"/>
      <c r="E2" s="74"/>
      <c r="F2" s="74"/>
      <c r="G2" s="424" t="s">
        <v>325</v>
      </c>
      <c r="H2" s="424"/>
      <c r="I2" s="424"/>
      <c r="J2" s="424"/>
      <c r="K2" s="424"/>
    </row>
    <row r="3" spans="1:11" s="69" customFormat="1" ht="15.75" customHeight="1">
      <c r="A3" s="172" t="s">
        <v>326</v>
      </c>
      <c r="B3" s="75"/>
      <c r="C3" s="75"/>
      <c r="D3" s="75"/>
      <c r="E3" s="74"/>
      <c r="F3" s="74"/>
      <c r="G3" s="424" t="s">
        <v>327</v>
      </c>
      <c r="H3" s="424"/>
      <c r="I3" s="424"/>
      <c r="J3" s="424"/>
      <c r="K3" s="424"/>
    </row>
    <row r="4" spans="2:11" s="69" customFormat="1" ht="15.75" customHeight="1">
      <c r="B4" s="67"/>
      <c r="C4" s="67"/>
      <c r="D4" s="67"/>
      <c r="E4" s="68"/>
      <c r="F4" s="68"/>
      <c r="G4" s="70"/>
      <c r="H4" s="70"/>
      <c r="I4" s="70"/>
      <c r="J4" s="70"/>
      <c r="K4" s="70"/>
    </row>
    <row r="5" spans="2:11" s="69" customFormat="1" ht="15.75" customHeight="1">
      <c r="B5" s="67"/>
      <c r="C5" s="67"/>
      <c r="D5" s="67"/>
      <c r="E5" s="68"/>
      <c r="F5" s="68"/>
      <c r="G5" s="70"/>
      <c r="H5" s="70"/>
      <c r="I5" s="70"/>
      <c r="J5" s="70"/>
      <c r="K5" s="70"/>
    </row>
    <row r="6" spans="1:11" ht="15.75" customHeight="1" collapsed="1" thickBot="1">
      <c r="A6" s="419" t="s">
        <v>513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</row>
    <row r="7" spans="1:11" s="69" customFormat="1" ht="15.75" customHeight="1" hidden="1" outlineLevel="1">
      <c r="A7" s="173" t="s">
        <v>328</v>
      </c>
      <c r="B7" s="420"/>
      <c r="C7" s="420"/>
      <c r="D7" s="73"/>
      <c r="E7" s="74" t="s">
        <v>329</v>
      </c>
      <c r="F7" s="74"/>
      <c r="G7" s="75"/>
      <c r="H7" s="62" t="s">
        <v>288</v>
      </c>
      <c r="I7" s="71" t="s">
        <v>330</v>
      </c>
      <c r="J7" s="71"/>
      <c r="K7" s="71"/>
    </row>
    <row r="8" spans="1:11" s="69" customFormat="1" ht="15.75" customHeight="1" hidden="1" outlineLevel="1">
      <c r="A8" s="76" t="s">
        <v>331</v>
      </c>
      <c r="B8" s="77">
        <v>1975</v>
      </c>
      <c r="C8" s="77">
        <v>2011</v>
      </c>
      <c r="D8" s="77"/>
      <c r="E8" s="78">
        <f>C8-B8</f>
        <v>36</v>
      </c>
      <c r="F8" s="78"/>
      <c r="G8" s="78"/>
      <c r="H8" s="79"/>
      <c r="I8" s="79"/>
      <c r="J8" s="84"/>
      <c r="K8" s="84"/>
    </row>
    <row r="9" spans="1:11" s="69" customFormat="1" ht="15.75" customHeight="1" hidden="1" outlineLevel="1">
      <c r="A9" s="81" t="s">
        <v>332</v>
      </c>
      <c r="B9" s="82"/>
      <c r="C9" s="82"/>
      <c r="D9" s="82"/>
      <c r="E9" s="82">
        <v>5700.1</v>
      </c>
      <c r="F9" s="82"/>
      <c r="G9" s="83"/>
      <c r="H9" s="84"/>
      <c r="I9" s="84"/>
      <c r="J9" s="84"/>
      <c r="K9" s="84"/>
    </row>
    <row r="10" spans="1:11" s="69" customFormat="1" ht="15.75" customHeight="1" hidden="1" outlineLevel="1">
      <c r="A10" s="81" t="s">
        <v>514</v>
      </c>
      <c r="B10" s="82"/>
      <c r="C10" s="82"/>
      <c r="D10" s="82"/>
      <c r="E10" s="82">
        <v>5115.6</v>
      </c>
      <c r="F10" s="82"/>
      <c r="G10" s="83"/>
      <c r="H10" s="84"/>
      <c r="I10" s="84"/>
      <c r="J10" s="84"/>
      <c r="K10" s="84"/>
    </row>
    <row r="11" spans="1:11" s="69" customFormat="1" ht="15.75" customHeight="1" hidden="1" outlineLevel="1">
      <c r="A11" s="81" t="s">
        <v>515</v>
      </c>
      <c r="B11" s="82"/>
      <c r="C11" s="82"/>
      <c r="D11" s="82"/>
      <c r="E11" s="82">
        <v>579.9</v>
      </c>
      <c r="F11" s="82"/>
      <c r="G11" s="83"/>
      <c r="H11" s="84"/>
      <c r="I11" s="84"/>
      <c r="J11" s="84"/>
      <c r="K11" s="84"/>
    </row>
    <row r="12" spans="1:11" s="69" customFormat="1" ht="15.75" customHeight="1" hidden="1" outlineLevel="1">
      <c r="A12" s="81" t="s">
        <v>25</v>
      </c>
      <c r="B12" s="82"/>
      <c r="C12" s="82"/>
      <c r="D12" s="82"/>
      <c r="E12" s="82">
        <v>114</v>
      </c>
      <c r="F12" s="82"/>
      <c r="G12" s="83"/>
      <c r="H12" s="84"/>
      <c r="I12" s="84"/>
      <c r="J12" s="84"/>
      <c r="K12" s="84"/>
    </row>
    <row r="13" spans="1:11" s="69" customFormat="1" ht="15.75" customHeight="1" hidden="1" outlineLevel="1">
      <c r="A13" s="81" t="s">
        <v>333</v>
      </c>
      <c r="B13" s="82"/>
      <c r="C13" s="82"/>
      <c r="D13" s="82"/>
      <c r="E13" s="82">
        <v>2070</v>
      </c>
      <c r="F13" s="82"/>
      <c r="G13" s="83"/>
      <c r="H13" s="84"/>
      <c r="I13" s="84"/>
      <c r="J13" s="84"/>
      <c r="K13" s="84"/>
    </row>
    <row r="14" spans="1:11" s="69" customFormat="1" ht="15.75" customHeight="1" hidden="1" outlineLevel="1">
      <c r="A14" s="81" t="s">
        <v>334</v>
      </c>
      <c r="B14" s="82"/>
      <c r="C14" s="82"/>
      <c r="D14" s="82"/>
      <c r="E14" s="82">
        <v>0</v>
      </c>
      <c r="F14" s="82"/>
      <c r="G14" s="83"/>
      <c r="H14" s="84"/>
      <c r="I14" s="84"/>
      <c r="J14" s="84"/>
      <c r="K14" s="84"/>
    </row>
    <row r="15" spans="1:11" s="69" customFormat="1" ht="15.75" customHeight="1" hidden="1" outlineLevel="1">
      <c r="A15" s="81" t="s">
        <v>335</v>
      </c>
      <c r="B15" s="82"/>
      <c r="C15" s="82"/>
      <c r="D15" s="82"/>
      <c r="E15" s="82">
        <v>22993</v>
      </c>
      <c r="F15" s="82"/>
      <c r="G15" s="83"/>
      <c r="H15" s="84"/>
      <c r="I15" s="84"/>
      <c r="J15" s="84"/>
      <c r="K15" s="84"/>
    </row>
    <row r="16" spans="1:11" s="69" customFormat="1" ht="15.75" customHeight="1" hidden="1" outlineLevel="1">
      <c r="A16" s="81" t="s">
        <v>336</v>
      </c>
      <c r="B16" s="82"/>
      <c r="C16" s="82"/>
      <c r="D16" s="82"/>
      <c r="E16" s="82">
        <v>0</v>
      </c>
      <c r="F16" s="82"/>
      <c r="G16" s="83"/>
      <c r="H16" s="84"/>
      <c r="I16" s="84"/>
      <c r="J16" s="84"/>
      <c r="K16" s="84"/>
    </row>
    <row r="17" spans="1:11" ht="15.75" customHeight="1" hidden="1" outlineLevel="1">
      <c r="A17" s="81" t="s">
        <v>337</v>
      </c>
      <c r="B17" s="82"/>
      <c r="C17" s="82"/>
      <c r="D17" s="82"/>
      <c r="E17" s="82">
        <v>705.1</v>
      </c>
      <c r="F17" s="82"/>
      <c r="G17" s="83"/>
      <c r="H17" s="84"/>
      <c r="I17" s="84"/>
      <c r="J17" s="84"/>
      <c r="K17" s="84"/>
    </row>
    <row r="18" spans="1:11" ht="15.75" customHeight="1" hidden="1" outlineLevel="1">
      <c r="A18" s="81" t="s">
        <v>338</v>
      </c>
      <c r="B18" s="82"/>
      <c r="C18" s="82"/>
      <c r="D18" s="82"/>
      <c r="E18" s="82">
        <v>1474</v>
      </c>
      <c r="F18" s="82"/>
      <c r="G18" s="83"/>
      <c r="H18" s="84"/>
      <c r="I18" s="84"/>
      <c r="J18" s="84"/>
      <c r="K18" s="84"/>
    </row>
    <row r="19" spans="1:11" ht="15.75" customHeight="1" hidden="1" outlineLevel="1">
      <c r="A19" s="81" t="s">
        <v>339</v>
      </c>
      <c r="B19" s="82"/>
      <c r="C19" s="82"/>
      <c r="D19" s="82"/>
      <c r="E19" s="82">
        <v>169</v>
      </c>
      <c r="F19" s="82"/>
      <c r="G19" s="83"/>
      <c r="H19" s="84"/>
      <c r="I19" s="84"/>
      <c r="J19" s="84"/>
      <c r="K19" s="84"/>
    </row>
    <row r="20" spans="1:11" ht="15.75" customHeight="1" hidden="1" outlineLevel="1">
      <c r="A20" s="81" t="s">
        <v>340</v>
      </c>
      <c r="B20" s="82"/>
      <c r="C20" s="82"/>
      <c r="D20" s="82"/>
      <c r="E20" s="82">
        <v>53</v>
      </c>
      <c r="F20" s="82"/>
      <c r="G20" s="83"/>
      <c r="H20" s="84"/>
      <c r="I20" s="84"/>
      <c r="J20" s="84"/>
      <c r="K20" s="84"/>
    </row>
    <row r="21" spans="1:11" ht="15.75" customHeight="1" hidden="1" outlineLevel="1">
      <c r="A21" s="81" t="s">
        <v>341</v>
      </c>
      <c r="B21" s="82"/>
      <c r="C21" s="82"/>
      <c r="D21" s="82"/>
      <c r="E21" s="82">
        <v>1548</v>
      </c>
      <c r="F21" s="82"/>
      <c r="G21" s="83"/>
      <c r="H21" s="84"/>
      <c r="I21" s="84"/>
      <c r="J21" s="84"/>
      <c r="K21" s="84"/>
    </row>
    <row r="22" spans="1:11" ht="15.75" customHeight="1" hidden="1" outlineLevel="1">
      <c r="A22" s="81" t="s">
        <v>342</v>
      </c>
      <c r="B22" s="82"/>
      <c r="C22" s="82"/>
      <c r="D22" s="82"/>
      <c r="E22" s="82">
        <v>2207</v>
      </c>
      <c r="F22" s="82"/>
      <c r="G22" s="83"/>
      <c r="H22" s="84"/>
      <c r="I22" s="84"/>
      <c r="J22" s="84"/>
      <c r="K22" s="84"/>
    </row>
    <row r="23" spans="1:11" ht="15.75" customHeight="1" hidden="1" outlineLevel="1">
      <c r="A23" s="81" t="s">
        <v>343</v>
      </c>
      <c r="B23" s="82"/>
      <c r="C23" s="82"/>
      <c r="D23" s="82"/>
      <c r="E23" s="82">
        <v>40</v>
      </c>
      <c r="F23" s="82"/>
      <c r="G23" s="83"/>
      <c r="H23" s="84"/>
      <c r="I23" s="84"/>
      <c r="J23" s="84"/>
      <c r="K23" s="84"/>
    </row>
    <row r="24" spans="1:11" ht="15.75" customHeight="1" hidden="1" outlineLevel="1">
      <c r="A24" s="81" t="s">
        <v>344</v>
      </c>
      <c r="B24" s="82"/>
      <c r="C24" s="82"/>
      <c r="D24" s="82"/>
      <c r="E24" s="82">
        <v>2070</v>
      </c>
      <c r="F24" s="82"/>
      <c r="G24" s="83"/>
      <c r="H24" s="84"/>
      <c r="I24" s="84"/>
      <c r="J24" s="84"/>
      <c r="K24" s="84"/>
    </row>
    <row r="25" spans="1:11" ht="15.75" customHeight="1" hidden="1" outlineLevel="1">
      <c r="A25" s="81" t="s">
        <v>345</v>
      </c>
      <c r="B25" s="82"/>
      <c r="C25" s="82"/>
      <c r="D25" s="82"/>
      <c r="E25" s="82">
        <v>1</v>
      </c>
      <c r="F25" s="82"/>
      <c r="G25" s="83"/>
      <c r="H25" s="84"/>
      <c r="I25" s="84"/>
      <c r="J25" s="84"/>
      <c r="K25" s="84"/>
    </row>
    <row r="26" spans="1:11" ht="15.75" customHeight="1" hidden="1" outlineLevel="1">
      <c r="A26" s="81" t="s">
        <v>346</v>
      </c>
      <c r="B26" s="82"/>
      <c r="C26" s="82"/>
      <c r="D26" s="82"/>
      <c r="E26" s="82">
        <v>208</v>
      </c>
      <c r="F26" s="82"/>
      <c r="G26" s="83"/>
      <c r="H26" s="84"/>
      <c r="I26" s="84"/>
      <c r="J26" s="84"/>
      <c r="K26" s="84"/>
    </row>
    <row r="27" spans="1:11" ht="15.75" customHeight="1" hidden="1" outlineLevel="1" thickBot="1">
      <c r="A27" s="81" t="s">
        <v>347</v>
      </c>
      <c r="B27" s="82"/>
      <c r="C27" s="82"/>
      <c r="D27" s="82"/>
      <c r="E27" s="82">
        <v>0</v>
      </c>
      <c r="F27" s="82"/>
      <c r="G27" s="83"/>
      <c r="H27" s="84"/>
      <c r="I27" s="84"/>
      <c r="J27" s="84"/>
      <c r="K27" s="84"/>
    </row>
    <row r="28" spans="1:11" ht="15.75" customHeight="1" hidden="1" outlineLevel="1">
      <c r="A28" s="81" t="s">
        <v>348</v>
      </c>
      <c r="B28" s="82"/>
      <c r="C28" s="82"/>
      <c r="D28" s="82"/>
      <c r="E28" s="82">
        <v>1.5</v>
      </c>
      <c r="F28" s="82"/>
      <c r="G28" s="83"/>
      <c r="H28" s="84"/>
      <c r="I28" s="84"/>
      <c r="J28" s="84"/>
      <c r="K28" s="84"/>
    </row>
    <row r="29" spans="1:11" ht="15.75" customHeight="1" hidden="1" outlineLevel="1">
      <c r="A29" s="81" t="s">
        <v>349</v>
      </c>
      <c r="B29" s="82"/>
      <c r="C29" s="82"/>
      <c r="D29" s="82"/>
      <c r="E29" s="82">
        <v>0</v>
      </c>
      <c r="F29" s="82"/>
      <c r="G29" s="83"/>
      <c r="H29" s="84"/>
      <c r="I29" s="84"/>
      <c r="J29" s="84"/>
      <c r="K29" s="84"/>
    </row>
    <row r="30" spans="1:11" ht="15.75" customHeight="1" hidden="1" outlineLevel="1">
      <c r="A30" s="81" t="s">
        <v>31</v>
      </c>
      <c r="B30" s="82"/>
      <c r="C30" s="82"/>
      <c r="D30" s="82"/>
      <c r="E30" s="82">
        <v>0</v>
      </c>
      <c r="F30" s="82"/>
      <c r="G30" s="83"/>
      <c r="H30" s="84"/>
      <c r="I30" s="84"/>
      <c r="J30" s="84"/>
      <c r="K30" s="84"/>
    </row>
    <row r="31" spans="1:11" ht="15.75" customHeight="1" hidden="1" outlineLevel="1">
      <c r="A31" s="81" t="s">
        <v>350</v>
      </c>
      <c r="B31" s="82"/>
      <c r="C31" s="82"/>
      <c r="D31" s="82"/>
      <c r="E31" s="82">
        <v>705.1</v>
      </c>
      <c r="F31" s="82"/>
      <c r="G31" s="83"/>
      <c r="H31" s="84"/>
      <c r="I31" s="84"/>
      <c r="J31" s="84"/>
      <c r="K31" s="84"/>
    </row>
    <row r="32" spans="1:11" ht="15.75" customHeight="1" hidden="1" outlineLevel="1">
      <c r="A32" s="81" t="s">
        <v>351</v>
      </c>
      <c r="B32" s="82"/>
      <c r="C32" s="82"/>
      <c r="D32" s="82"/>
      <c r="E32" s="82">
        <f>E12*2</f>
        <v>228</v>
      </c>
      <c r="F32" s="82"/>
      <c r="G32" s="83"/>
      <c r="H32" s="84"/>
      <c r="I32" s="84"/>
      <c r="J32" s="84"/>
      <c r="K32" s="84"/>
    </row>
    <row r="33" spans="1:11" ht="15.75" customHeight="1" hidden="1" outlineLevel="1">
      <c r="A33" s="81" t="s">
        <v>352</v>
      </c>
      <c r="B33" s="82"/>
      <c r="C33" s="82"/>
      <c r="D33" s="82"/>
      <c r="E33" s="82">
        <v>0</v>
      </c>
      <c r="F33" s="82"/>
      <c r="G33" s="83"/>
      <c r="H33" s="84"/>
      <c r="I33" s="84"/>
      <c r="J33" s="84"/>
      <c r="K33" s="84"/>
    </row>
    <row r="34" spans="1:11" ht="15.75" customHeight="1" hidden="1" outlineLevel="1">
      <c r="A34" s="81" t="s">
        <v>353</v>
      </c>
      <c r="B34" s="82"/>
      <c r="C34" s="82"/>
      <c r="D34" s="82"/>
      <c r="E34" s="82"/>
      <c r="F34" s="82"/>
      <c r="G34" s="83"/>
      <c r="H34" s="84"/>
      <c r="I34" s="84"/>
      <c r="J34" s="84"/>
      <c r="K34" s="84"/>
    </row>
    <row r="35" spans="1:11" s="69" customFormat="1" ht="15.75" customHeight="1" hidden="1" outlineLevel="1">
      <c r="A35" s="81" t="s">
        <v>354</v>
      </c>
      <c r="B35" s="82"/>
      <c r="C35" s="82"/>
      <c r="D35" s="82"/>
      <c r="E35" s="82"/>
      <c r="F35" s="82"/>
      <c r="G35" s="83"/>
      <c r="H35" s="84"/>
      <c r="I35" s="84"/>
      <c r="J35" s="84"/>
      <c r="K35" s="84"/>
    </row>
    <row r="36" spans="1:11" s="69" customFormat="1" ht="15.75" customHeight="1" hidden="1" outlineLevel="1">
      <c r="A36" s="81" t="s">
        <v>355</v>
      </c>
      <c r="B36" s="82"/>
      <c r="C36" s="82"/>
      <c r="D36" s="82"/>
      <c r="E36" s="82"/>
      <c r="F36" s="82"/>
      <c r="G36" s="83"/>
      <c r="H36" s="84"/>
      <c r="I36" s="84"/>
      <c r="J36" s="84"/>
      <c r="K36" s="84"/>
    </row>
    <row r="37" spans="1:11" s="69" customFormat="1" ht="15.75" customHeight="1" hidden="1" outlineLevel="1">
      <c r="A37" s="81" t="s">
        <v>356</v>
      </c>
      <c r="B37" s="82"/>
      <c r="C37" s="82"/>
      <c r="D37" s="82"/>
      <c r="E37" s="82"/>
      <c r="F37" s="82"/>
      <c r="G37" s="83"/>
      <c r="H37" s="84"/>
      <c r="I37" s="84"/>
      <c r="J37" s="84"/>
      <c r="K37" s="84"/>
    </row>
    <row r="38" spans="1:11" s="69" customFormat="1" ht="15.75" customHeight="1" hidden="1" outlineLevel="1">
      <c r="A38" s="81" t="s">
        <v>357</v>
      </c>
      <c r="B38" s="82"/>
      <c r="C38" s="82"/>
      <c r="D38" s="82"/>
      <c r="E38" s="82" t="s">
        <v>516</v>
      </c>
      <c r="F38" s="82"/>
      <c r="G38" s="83"/>
      <c r="H38" s="84"/>
      <c r="I38" s="84"/>
      <c r="J38" s="84"/>
      <c r="K38" s="84"/>
    </row>
    <row r="39" spans="1:11" s="69" customFormat="1" ht="15.75" customHeight="1" hidden="1" outlineLevel="1">
      <c r="A39" s="174" t="s">
        <v>517</v>
      </c>
      <c r="B39" s="78"/>
      <c r="C39" s="78"/>
      <c r="D39" s="78"/>
      <c r="E39" s="175"/>
      <c r="F39" s="175"/>
      <c r="G39" s="78"/>
      <c r="H39" s="175" t="e">
        <f>#REF!</f>
        <v>#REF!</v>
      </c>
      <c r="I39" s="176" t="e">
        <f>H39/12</f>
        <v>#REF!</v>
      </c>
      <c r="J39" s="177"/>
      <c r="K39" s="177"/>
    </row>
    <row r="40" spans="1:11" s="69" customFormat="1" ht="15.75" customHeight="1" hidden="1" outlineLevel="1">
      <c r="A40" s="178" t="s">
        <v>518</v>
      </c>
      <c r="B40" s="83"/>
      <c r="C40" s="83"/>
      <c r="D40" s="83"/>
      <c r="E40" s="179"/>
      <c r="F40" s="179"/>
      <c r="G40" s="83"/>
      <c r="H40" s="179" t="e">
        <f>#REF!</f>
        <v>#REF!</v>
      </c>
      <c r="I40" s="177" t="e">
        <f>H40/12</f>
        <v>#REF!</v>
      </c>
      <c r="J40" s="177"/>
      <c r="K40" s="177"/>
    </row>
    <row r="41" spans="1:11" s="69" customFormat="1" ht="15.75" customHeight="1" hidden="1" outlineLevel="1">
      <c r="A41" s="178" t="s">
        <v>519</v>
      </c>
      <c r="B41" s="83"/>
      <c r="C41" s="83"/>
      <c r="D41" s="83"/>
      <c r="E41" s="179"/>
      <c r="F41" s="179"/>
      <c r="G41" s="83"/>
      <c r="H41" s="179" t="e">
        <f>#REF!</f>
        <v>#REF!</v>
      </c>
      <c r="I41" s="177" t="e">
        <f>H41/12</f>
        <v>#REF!</v>
      </c>
      <c r="J41" s="177"/>
      <c r="K41" s="177"/>
    </row>
    <row r="42" spans="1:11" s="69" customFormat="1" ht="15.75" customHeight="1" hidden="1" outlineLevel="1">
      <c r="A42" s="178" t="s">
        <v>520</v>
      </c>
      <c r="B42" s="83"/>
      <c r="C42" s="83"/>
      <c r="D42" s="83"/>
      <c r="E42" s="179"/>
      <c r="F42" s="179"/>
      <c r="G42" s="83"/>
      <c r="H42" s="179" t="e">
        <f>#REF!</f>
        <v>#REF!</v>
      </c>
      <c r="I42" s="177" t="e">
        <f>H42/5.5</f>
        <v>#REF!</v>
      </c>
      <c r="J42" s="177"/>
      <c r="K42" s="177"/>
    </row>
    <row r="43" spans="1:11" s="69" customFormat="1" ht="15.75" customHeight="1" hidden="1" outlineLevel="1">
      <c r="A43" s="178" t="s">
        <v>521</v>
      </c>
      <c r="B43" s="83"/>
      <c r="C43" s="83"/>
      <c r="D43" s="83"/>
      <c r="E43" s="179"/>
      <c r="F43" s="179"/>
      <c r="G43" s="83"/>
      <c r="H43" s="179" t="e">
        <f>#REF!</f>
        <v>#REF!</v>
      </c>
      <c r="I43" s="177" t="e">
        <f>H43/6.5</f>
        <v>#REF!</v>
      </c>
      <c r="J43" s="177"/>
      <c r="K43" s="177"/>
    </row>
    <row r="44" spans="1:11" s="69" customFormat="1" ht="15.75" customHeight="1" hidden="1" outlineLevel="1">
      <c r="A44" s="178" t="s">
        <v>522</v>
      </c>
      <c r="B44" s="83"/>
      <c r="C44" s="83"/>
      <c r="D44" s="83"/>
      <c r="E44" s="179"/>
      <c r="F44" s="179"/>
      <c r="G44" s="83"/>
      <c r="H44" s="179">
        <f>F54</f>
        <v>0</v>
      </c>
      <c r="I44" s="177">
        <f>H44/12</f>
        <v>0</v>
      </c>
      <c r="J44" s="177"/>
      <c r="K44" s="177"/>
    </row>
    <row r="45" spans="1:11" s="69" customFormat="1" ht="15.75" customHeight="1" collapsed="1">
      <c r="A45" s="430" t="s">
        <v>287</v>
      </c>
      <c r="B45" s="431"/>
      <c r="C45" s="431"/>
      <c r="D45" s="431"/>
      <c r="E45" s="431"/>
      <c r="F45" s="431"/>
      <c r="G45" s="433" t="s">
        <v>358</v>
      </c>
      <c r="H45" s="435" t="s">
        <v>288</v>
      </c>
      <c r="I45" s="435" t="s">
        <v>523</v>
      </c>
      <c r="J45" s="425" t="s">
        <v>524</v>
      </c>
      <c r="K45" s="426"/>
    </row>
    <row r="46" spans="1:11" s="91" customFormat="1" ht="18" thickBot="1">
      <c r="A46" s="432"/>
      <c r="B46" s="421"/>
      <c r="C46" s="421"/>
      <c r="D46" s="421"/>
      <c r="E46" s="421"/>
      <c r="F46" s="421"/>
      <c r="G46" s="434"/>
      <c r="H46" s="436"/>
      <c r="I46" s="436"/>
      <c r="J46" s="181">
        <f>5115.6/5700.1</f>
        <v>0.8974579393343977</v>
      </c>
      <c r="K46" s="182">
        <f>579.9/5700.1</f>
        <v>0.10173505727969684</v>
      </c>
    </row>
    <row r="47" spans="1:11" s="97" customFormat="1" ht="31.5" thickBot="1">
      <c r="A47" s="183" t="s">
        <v>274</v>
      </c>
      <c r="B47" s="184" t="s">
        <v>359</v>
      </c>
      <c r="C47" s="184" t="s">
        <v>360</v>
      </c>
      <c r="D47" s="184" t="s">
        <v>361</v>
      </c>
      <c r="E47" s="184" t="s">
        <v>329</v>
      </c>
      <c r="F47" s="184" t="s">
        <v>362</v>
      </c>
      <c r="G47" s="185" t="s">
        <v>363</v>
      </c>
      <c r="H47" s="186">
        <v>251246.89</v>
      </c>
      <c r="I47" s="186">
        <f aca="true" t="shared" si="0" ref="I47:I54">H47/12</f>
        <v>20937.240833333333</v>
      </c>
      <c r="J47" s="186">
        <f>H47*$J$46/12/5115.6</f>
        <v>3.673135705221546</v>
      </c>
      <c r="K47" s="187">
        <f>H47*$K$46/12/579.9</f>
        <v>3.6731357052215454</v>
      </c>
    </row>
    <row r="48" spans="1:11" s="97" customFormat="1" ht="31.5" thickBot="1">
      <c r="A48" s="92" t="s">
        <v>273</v>
      </c>
      <c r="B48" s="93" t="s">
        <v>359</v>
      </c>
      <c r="C48" s="93" t="s">
        <v>360</v>
      </c>
      <c r="D48" s="93" t="s">
        <v>361</v>
      </c>
      <c r="E48" s="93" t="s">
        <v>329</v>
      </c>
      <c r="F48" s="93" t="s">
        <v>362</v>
      </c>
      <c r="G48" s="94" t="s">
        <v>363</v>
      </c>
      <c r="H48" s="95">
        <v>132788.01</v>
      </c>
      <c r="I48" s="95">
        <f t="shared" si="0"/>
        <v>11065.667500000001</v>
      </c>
      <c r="J48" s="95">
        <f>H48/12/5115.6</f>
        <v>2.163122116662757</v>
      </c>
      <c r="K48" s="96">
        <v>0</v>
      </c>
    </row>
    <row r="49" spans="1:11" s="118" customFormat="1" ht="31.5" thickBot="1">
      <c r="A49" s="92" t="s">
        <v>275</v>
      </c>
      <c r="B49" s="93" t="s">
        <v>359</v>
      </c>
      <c r="C49" s="93" t="s">
        <v>360</v>
      </c>
      <c r="D49" s="93" t="s">
        <v>361</v>
      </c>
      <c r="E49" s="93" t="s">
        <v>329</v>
      </c>
      <c r="F49" s="93" t="s">
        <v>362</v>
      </c>
      <c r="G49" s="94" t="s">
        <v>363</v>
      </c>
      <c r="H49" s="95">
        <v>125313.14</v>
      </c>
      <c r="I49" s="95">
        <f t="shared" si="0"/>
        <v>10442.761666666667</v>
      </c>
      <c r="J49" s="95">
        <f>H49*$J$46/12/5115.6</f>
        <v>1.8320313093922327</v>
      </c>
      <c r="K49" s="96">
        <f>H49*$K$46/12/579.9</f>
        <v>1.832031309392233</v>
      </c>
    </row>
    <row r="50" spans="1:11" ht="15.75" customHeight="1" hidden="1" outlineLevel="2">
      <c r="A50" s="196" t="s">
        <v>384</v>
      </c>
      <c r="B50" s="128"/>
      <c r="C50" s="128"/>
      <c r="D50" s="127"/>
      <c r="E50" s="164"/>
      <c r="F50" s="128">
        <v>0</v>
      </c>
      <c r="G50" s="163">
        <v>766</v>
      </c>
      <c r="H50" s="164">
        <f>F50*G50</f>
        <v>0</v>
      </c>
      <c r="I50" s="164">
        <f t="shared" si="0"/>
        <v>0</v>
      </c>
      <c r="J50" s="164">
        <f aca="true" t="shared" si="1" ref="J50:J71">H50*$J$46/12/5115.6</f>
        <v>0</v>
      </c>
      <c r="K50" s="197">
        <f aca="true" t="shared" si="2" ref="K50:K71">H50*$K$46/12/579.9</f>
        <v>0</v>
      </c>
    </row>
    <row r="51" spans="1:11" ht="15.75" customHeight="1" hidden="1" outlineLevel="2">
      <c r="A51" s="196" t="s">
        <v>385</v>
      </c>
      <c r="B51" s="128"/>
      <c r="C51" s="128"/>
      <c r="D51" s="127"/>
      <c r="E51" s="164"/>
      <c r="F51" s="128">
        <v>0</v>
      </c>
      <c r="G51" s="163">
        <v>680</v>
      </c>
      <c r="H51" s="164">
        <f>F51*G51</f>
        <v>0</v>
      </c>
      <c r="I51" s="164">
        <f t="shared" si="0"/>
        <v>0</v>
      </c>
      <c r="J51" s="164">
        <f t="shared" si="1"/>
        <v>0</v>
      </c>
      <c r="K51" s="197">
        <f t="shared" si="2"/>
        <v>0</v>
      </c>
    </row>
    <row r="52" spans="1:11" ht="15.75" customHeight="1" hidden="1" outlineLevel="2">
      <c r="A52" s="196" t="s">
        <v>386</v>
      </c>
      <c r="B52" s="128"/>
      <c r="C52" s="128"/>
      <c r="D52" s="127"/>
      <c r="E52" s="164"/>
      <c r="F52" s="128">
        <v>0</v>
      </c>
      <c r="G52" s="163">
        <v>790</v>
      </c>
      <c r="H52" s="164">
        <f>F52*G52</f>
        <v>0</v>
      </c>
      <c r="I52" s="164">
        <f t="shared" si="0"/>
        <v>0</v>
      </c>
      <c r="J52" s="164">
        <f t="shared" si="1"/>
        <v>0</v>
      </c>
      <c r="K52" s="197">
        <f t="shared" si="2"/>
        <v>0</v>
      </c>
    </row>
    <row r="53" spans="1:11" s="118" customFormat="1" ht="32.25" customHeight="1" hidden="1" collapsed="1">
      <c r="A53" s="92" t="s">
        <v>282</v>
      </c>
      <c r="B53" s="93" t="s">
        <v>359</v>
      </c>
      <c r="C53" s="93" t="s">
        <v>360</v>
      </c>
      <c r="D53" s="93" t="s">
        <v>361</v>
      </c>
      <c r="E53" s="93" t="s">
        <v>329</v>
      </c>
      <c r="F53" s="93" t="s">
        <v>362</v>
      </c>
      <c r="G53" s="94" t="s">
        <v>363</v>
      </c>
      <c r="H53" s="95">
        <f>H54+H145+H146+H147+H148+H168+H176</f>
        <v>0</v>
      </c>
      <c r="I53" s="95">
        <f t="shared" si="0"/>
        <v>0</v>
      </c>
      <c r="J53" s="95">
        <f t="shared" si="1"/>
        <v>0</v>
      </c>
      <c r="K53" s="96">
        <f t="shared" si="2"/>
        <v>0</v>
      </c>
    </row>
    <row r="54" spans="1:11" s="69" customFormat="1" ht="15.75" customHeight="1" hidden="1" outlineLevel="1" collapsed="1">
      <c r="A54" s="198" t="s">
        <v>387</v>
      </c>
      <c r="B54" s="99" t="s">
        <v>364</v>
      </c>
      <c r="C54" s="99" t="s">
        <v>364</v>
      </c>
      <c r="D54" s="99" t="s">
        <v>364</v>
      </c>
      <c r="E54" s="99" t="s">
        <v>364</v>
      </c>
      <c r="F54" s="99">
        <f>SUM(F55:F144)</f>
        <v>0</v>
      </c>
      <c r="G54" s="100">
        <v>6000</v>
      </c>
      <c r="H54" s="100">
        <f>F54*G54</f>
        <v>0</v>
      </c>
      <c r="I54" s="100">
        <f t="shared" si="0"/>
        <v>0</v>
      </c>
      <c r="J54" s="100">
        <f t="shared" si="1"/>
        <v>0</v>
      </c>
      <c r="K54" s="101">
        <f t="shared" si="2"/>
        <v>0</v>
      </c>
    </row>
    <row r="55" spans="1:11" s="138" customFormat="1" ht="15.75" customHeight="1" hidden="1" outlineLevel="3">
      <c r="A55" s="136" t="s">
        <v>388</v>
      </c>
      <c r="B55" s="137" t="s">
        <v>389</v>
      </c>
      <c r="C55" s="137">
        <v>440</v>
      </c>
      <c r="D55" s="137">
        <v>12</v>
      </c>
      <c r="E55" s="112"/>
      <c r="F55" s="110">
        <f>E55/C55*D55</f>
        <v>0</v>
      </c>
      <c r="G55" s="112"/>
      <c r="H55" s="111"/>
      <c r="I55" s="111"/>
      <c r="J55" s="111">
        <f t="shared" si="1"/>
        <v>0</v>
      </c>
      <c r="K55" s="113">
        <f t="shared" si="2"/>
        <v>0</v>
      </c>
    </row>
    <row r="56" spans="1:11" s="138" customFormat="1" ht="15.75" customHeight="1" hidden="1" outlineLevel="3">
      <c r="A56" s="136" t="s">
        <v>390</v>
      </c>
      <c r="B56" s="137" t="s">
        <v>389</v>
      </c>
      <c r="C56" s="137">
        <v>420</v>
      </c>
      <c r="D56" s="137">
        <v>12</v>
      </c>
      <c r="E56" s="112"/>
      <c r="F56" s="110">
        <f aca="true" t="shared" si="3" ref="F56:F119">E56/C56*D56</f>
        <v>0</v>
      </c>
      <c r="G56" s="112"/>
      <c r="H56" s="111"/>
      <c r="I56" s="111"/>
      <c r="J56" s="111">
        <f t="shared" si="1"/>
        <v>0</v>
      </c>
      <c r="K56" s="113">
        <f t="shared" si="2"/>
        <v>0</v>
      </c>
    </row>
    <row r="57" spans="1:11" s="138" customFormat="1" ht="15.75" customHeight="1" hidden="1" outlineLevel="3">
      <c r="A57" s="136" t="s">
        <v>391</v>
      </c>
      <c r="B57" s="137" t="s">
        <v>389</v>
      </c>
      <c r="C57" s="137">
        <v>410</v>
      </c>
      <c r="D57" s="137">
        <v>12</v>
      </c>
      <c r="E57" s="112"/>
      <c r="F57" s="110">
        <f t="shared" si="3"/>
        <v>0</v>
      </c>
      <c r="G57" s="112"/>
      <c r="H57" s="111"/>
      <c r="I57" s="111"/>
      <c r="J57" s="111">
        <f t="shared" si="1"/>
        <v>0</v>
      </c>
      <c r="K57" s="113">
        <f t="shared" si="2"/>
        <v>0</v>
      </c>
    </row>
    <row r="58" spans="1:11" s="138" customFormat="1" ht="15.75" customHeight="1" hidden="1" outlineLevel="3">
      <c r="A58" s="136" t="s">
        <v>392</v>
      </c>
      <c r="B58" s="137" t="s">
        <v>389</v>
      </c>
      <c r="C58" s="137">
        <v>460</v>
      </c>
      <c r="D58" s="137">
        <v>12</v>
      </c>
      <c r="E58" s="112"/>
      <c r="F58" s="110">
        <f t="shared" si="3"/>
        <v>0</v>
      </c>
      <c r="G58" s="112"/>
      <c r="H58" s="111"/>
      <c r="I58" s="111"/>
      <c r="J58" s="111">
        <f t="shared" si="1"/>
        <v>0</v>
      </c>
      <c r="K58" s="113">
        <f t="shared" si="2"/>
        <v>0</v>
      </c>
    </row>
    <row r="59" spans="1:11" s="138" customFormat="1" ht="15.75" customHeight="1" hidden="1" outlineLevel="3">
      <c r="A59" s="136" t="s">
        <v>393</v>
      </c>
      <c r="B59" s="137" t="s">
        <v>389</v>
      </c>
      <c r="C59" s="137">
        <v>450</v>
      </c>
      <c r="D59" s="137">
        <v>12</v>
      </c>
      <c r="E59" s="112"/>
      <c r="F59" s="110">
        <f t="shared" si="3"/>
        <v>0</v>
      </c>
      <c r="G59" s="112"/>
      <c r="H59" s="111"/>
      <c r="I59" s="111"/>
      <c r="J59" s="111">
        <f t="shared" si="1"/>
        <v>0</v>
      </c>
      <c r="K59" s="113">
        <f t="shared" si="2"/>
        <v>0</v>
      </c>
    </row>
    <row r="60" spans="1:11" s="138" customFormat="1" ht="15.75" customHeight="1" hidden="1" outlineLevel="3">
      <c r="A60" s="136" t="s">
        <v>394</v>
      </c>
      <c r="B60" s="137" t="s">
        <v>389</v>
      </c>
      <c r="C60" s="137">
        <v>440</v>
      </c>
      <c r="D60" s="137">
        <v>12</v>
      </c>
      <c r="E60" s="112"/>
      <c r="F60" s="110">
        <f t="shared" si="3"/>
        <v>0</v>
      </c>
      <c r="G60" s="112"/>
      <c r="H60" s="111"/>
      <c r="I60" s="111"/>
      <c r="J60" s="111">
        <f t="shared" si="1"/>
        <v>0</v>
      </c>
      <c r="K60" s="113">
        <f t="shared" si="2"/>
        <v>0</v>
      </c>
    </row>
    <row r="61" spans="1:11" s="138" customFormat="1" ht="15.75" customHeight="1" hidden="1" outlineLevel="3">
      <c r="A61" s="136" t="s">
        <v>395</v>
      </c>
      <c r="B61" s="137" t="s">
        <v>389</v>
      </c>
      <c r="C61" s="137">
        <v>370</v>
      </c>
      <c r="D61" s="137">
        <v>12</v>
      </c>
      <c r="E61" s="112"/>
      <c r="F61" s="110">
        <f t="shared" si="3"/>
        <v>0</v>
      </c>
      <c r="G61" s="112"/>
      <c r="H61" s="111"/>
      <c r="I61" s="111"/>
      <c r="J61" s="111">
        <f t="shared" si="1"/>
        <v>0</v>
      </c>
      <c r="K61" s="113">
        <f t="shared" si="2"/>
        <v>0</v>
      </c>
    </row>
    <row r="62" spans="1:11" s="138" customFormat="1" ht="15.75" customHeight="1" hidden="1" outlineLevel="3">
      <c r="A62" s="136" t="s">
        <v>396</v>
      </c>
      <c r="B62" s="137" t="s">
        <v>389</v>
      </c>
      <c r="C62" s="137">
        <v>360</v>
      </c>
      <c r="D62" s="137">
        <v>12</v>
      </c>
      <c r="E62" s="112"/>
      <c r="F62" s="110">
        <f t="shared" si="3"/>
        <v>0</v>
      </c>
      <c r="G62" s="112"/>
      <c r="H62" s="111"/>
      <c r="I62" s="111"/>
      <c r="J62" s="111">
        <f t="shared" si="1"/>
        <v>0</v>
      </c>
      <c r="K62" s="113">
        <f t="shared" si="2"/>
        <v>0</v>
      </c>
    </row>
    <row r="63" spans="1:11" s="138" customFormat="1" ht="15.75" customHeight="1" hidden="1" outlineLevel="3">
      <c r="A63" s="136" t="s">
        <v>397</v>
      </c>
      <c r="B63" s="137" t="s">
        <v>389</v>
      </c>
      <c r="C63" s="137">
        <v>350</v>
      </c>
      <c r="D63" s="137">
        <v>12</v>
      </c>
      <c r="E63" s="112"/>
      <c r="F63" s="110">
        <f t="shared" si="3"/>
        <v>0</v>
      </c>
      <c r="G63" s="112"/>
      <c r="H63" s="111"/>
      <c r="I63" s="111"/>
      <c r="J63" s="111">
        <f t="shared" si="1"/>
        <v>0</v>
      </c>
      <c r="K63" s="113">
        <f t="shared" si="2"/>
        <v>0</v>
      </c>
    </row>
    <row r="64" spans="1:11" s="138" customFormat="1" ht="15.75" customHeight="1" hidden="1" outlineLevel="3">
      <c r="A64" s="136" t="s">
        <v>398</v>
      </c>
      <c r="B64" s="137" t="s">
        <v>389</v>
      </c>
      <c r="C64" s="137">
        <v>490</v>
      </c>
      <c r="D64" s="137">
        <v>12</v>
      </c>
      <c r="E64" s="112"/>
      <c r="F64" s="110">
        <f t="shared" si="3"/>
        <v>0</v>
      </c>
      <c r="G64" s="112"/>
      <c r="H64" s="111"/>
      <c r="I64" s="111"/>
      <c r="J64" s="111">
        <f t="shared" si="1"/>
        <v>0</v>
      </c>
      <c r="K64" s="113">
        <f t="shared" si="2"/>
        <v>0</v>
      </c>
    </row>
    <row r="65" spans="1:11" s="138" customFormat="1" ht="15.75" customHeight="1" hidden="1" outlineLevel="3">
      <c r="A65" s="136" t="s">
        <v>399</v>
      </c>
      <c r="B65" s="137" t="s">
        <v>389</v>
      </c>
      <c r="C65" s="137">
        <v>470</v>
      </c>
      <c r="D65" s="137">
        <v>12</v>
      </c>
      <c r="E65" s="112"/>
      <c r="F65" s="110">
        <f t="shared" si="3"/>
        <v>0</v>
      </c>
      <c r="G65" s="112"/>
      <c r="H65" s="111"/>
      <c r="I65" s="111"/>
      <c r="J65" s="111">
        <f t="shared" si="1"/>
        <v>0</v>
      </c>
      <c r="K65" s="113">
        <f t="shared" si="2"/>
        <v>0</v>
      </c>
    </row>
    <row r="66" spans="1:11" s="138" customFormat="1" ht="15.75" customHeight="1" hidden="1" outlineLevel="3">
      <c r="A66" s="136" t="s">
        <v>400</v>
      </c>
      <c r="B66" s="137" t="s">
        <v>389</v>
      </c>
      <c r="C66" s="137">
        <v>450</v>
      </c>
      <c r="D66" s="137">
        <v>12</v>
      </c>
      <c r="E66" s="112"/>
      <c r="F66" s="110">
        <f t="shared" si="3"/>
        <v>0</v>
      </c>
      <c r="G66" s="112"/>
      <c r="H66" s="111"/>
      <c r="I66" s="111"/>
      <c r="J66" s="111">
        <f t="shared" si="1"/>
        <v>0</v>
      </c>
      <c r="K66" s="113">
        <f t="shared" si="2"/>
        <v>0</v>
      </c>
    </row>
    <row r="67" spans="1:11" s="138" customFormat="1" ht="15.75" customHeight="1" hidden="1" outlineLevel="3">
      <c r="A67" s="136" t="s">
        <v>401</v>
      </c>
      <c r="B67" s="137" t="s">
        <v>389</v>
      </c>
      <c r="C67" s="137">
        <v>540</v>
      </c>
      <c r="D67" s="137">
        <v>12</v>
      </c>
      <c r="E67" s="112"/>
      <c r="F67" s="110">
        <f t="shared" si="3"/>
        <v>0</v>
      </c>
      <c r="G67" s="112"/>
      <c r="H67" s="111"/>
      <c r="I67" s="111"/>
      <c r="J67" s="111">
        <f t="shared" si="1"/>
        <v>0</v>
      </c>
      <c r="K67" s="113">
        <f t="shared" si="2"/>
        <v>0</v>
      </c>
    </row>
    <row r="68" spans="1:11" s="138" customFormat="1" ht="15.75" customHeight="1" hidden="1" outlineLevel="3">
      <c r="A68" s="136" t="s">
        <v>402</v>
      </c>
      <c r="B68" s="137" t="s">
        <v>389</v>
      </c>
      <c r="C68" s="137">
        <v>530</v>
      </c>
      <c r="D68" s="137">
        <v>12</v>
      </c>
      <c r="E68" s="112"/>
      <c r="F68" s="110">
        <f t="shared" si="3"/>
        <v>0</v>
      </c>
      <c r="G68" s="112"/>
      <c r="H68" s="111"/>
      <c r="I68" s="111"/>
      <c r="J68" s="111">
        <f t="shared" si="1"/>
        <v>0</v>
      </c>
      <c r="K68" s="113">
        <f t="shared" si="2"/>
        <v>0</v>
      </c>
    </row>
    <row r="69" spans="1:11" s="138" customFormat="1" ht="15.75" customHeight="1" hidden="1" outlineLevel="3">
      <c r="A69" s="136" t="s">
        <v>403</v>
      </c>
      <c r="B69" s="137" t="s">
        <v>389</v>
      </c>
      <c r="C69" s="137">
        <v>510</v>
      </c>
      <c r="D69" s="137">
        <v>12</v>
      </c>
      <c r="E69" s="112"/>
      <c r="F69" s="110">
        <f t="shared" si="3"/>
        <v>0</v>
      </c>
      <c r="G69" s="112"/>
      <c r="H69" s="111"/>
      <c r="I69" s="111"/>
      <c r="J69" s="111">
        <f t="shared" si="1"/>
        <v>0</v>
      </c>
      <c r="K69" s="113">
        <f t="shared" si="2"/>
        <v>0</v>
      </c>
    </row>
    <row r="70" spans="1:11" s="138" customFormat="1" ht="15.75" customHeight="1" hidden="1" outlineLevel="3">
      <c r="A70" s="136" t="s">
        <v>404</v>
      </c>
      <c r="B70" s="137" t="s">
        <v>389</v>
      </c>
      <c r="C70" s="137">
        <v>480</v>
      </c>
      <c r="D70" s="137">
        <v>12</v>
      </c>
      <c r="E70" s="112"/>
      <c r="F70" s="110">
        <f t="shared" si="3"/>
        <v>0</v>
      </c>
      <c r="G70" s="112"/>
      <c r="H70" s="111"/>
      <c r="I70" s="111"/>
      <c r="J70" s="111">
        <f t="shared" si="1"/>
        <v>0</v>
      </c>
      <c r="K70" s="113">
        <f t="shared" si="2"/>
        <v>0</v>
      </c>
    </row>
    <row r="71" spans="1:11" s="138" customFormat="1" ht="15.75" customHeight="1" hidden="1" outlineLevel="3">
      <c r="A71" s="136" t="s">
        <v>405</v>
      </c>
      <c r="B71" s="137" t="s">
        <v>389</v>
      </c>
      <c r="C71" s="137">
        <v>470</v>
      </c>
      <c r="D71" s="137">
        <v>12</v>
      </c>
      <c r="E71" s="112"/>
      <c r="F71" s="110">
        <f t="shared" si="3"/>
        <v>0</v>
      </c>
      <c r="G71" s="112"/>
      <c r="H71" s="111"/>
      <c r="I71" s="111"/>
      <c r="J71" s="111">
        <f t="shared" si="1"/>
        <v>0</v>
      </c>
      <c r="K71" s="113">
        <f t="shared" si="2"/>
        <v>0</v>
      </c>
    </row>
    <row r="72" spans="1:11" s="138" customFormat="1" ht="15.75" customHeight="1" hidden="1" outlineLevel="3">
      <c r="A72" s="136" t="s">
        <v>406</v>
      </c>
      <c r="B72" s="137" t="s">
        <v>389</v>
      </c>
      <c r="C72" s="137">
        <v>440</v>
      </c>
      <c r="D72" s="137">
        <v>12</v>
      </c>
      <c r="E72" s="112"/>
      <c r="F72" s="110">
        <f t="shared" si="3"/>
        <v>0</v>
      </c>
      <c r="G72" s="112"/>
      <c r="H72" s="111"/>
      <c r="I72" s="111"/>
      <c r="J72" s="111">
        <f aca="true" t="shared" si="4" ref="J72:J135">H72*$J$46/12/5115.6</f>
        <v>0</v>
      </c>
      <c r="K72" s="113">
        <f aca="true" t="shared" si="5" ref="K72:K135">H72*$K$46/12/579.9</f>
        <v>0</v>
      </c>
    </row>
    <row r="73" spans="1:11" s="138" customFormat="1" ht="15.75" customHeight="1" hidden="1" outlineLevel="3">
      <c r="A73" s="136" t="s">
        <v>407</v>
      </c>
      <c r="B73" s="137" t="s">
        <v>389</v>
      </c>
      <c r="C73" s="137">
        <v>510</v>
      </c>
      <c r="D73" s="137">
        <v>12</v>
      </c>
      <c r="E73" s="112"/>
      <c r="F73" s="110">
        <f t="shared" si="3"/>
        <v>0</v>
      </c>
      <c r="G73" s="112"/>
      <c r="H73" s="111"/>
      <c r="I73" s="111"/>
      <c r="J73" s="111">
        <f t="shared" si="4"/>
        <v>0</v>
      </c>
      <c r="K73" s="113">
        <f t="shared" si="5"/>
        <v>0</v>
      </c>
    </row>
    <row r="74" spans="1:11" s="138" customFormat="1" ht="15.75" customHeight="1" hidden="1" outlineLevel="3">
      <c r="A74" s="136" t="s">
        <v>408</v>
      </c>
      <c r="B74" s="137" t="s">
        <v>389</v>
      </c>
      <c r="C74" s="137">
        <v>490</v>
      </c>
      <c r="D74" s="137">
        <v>12</v>
      </c>
      <c r="E74" s="112"/>
      <c r="F74" s="110">
        <f t="shared" si="3"/>
        <v>0</v>
      </c>
      <c r="G74" s="112"/>
      <c r="H74" s="111"/>
      <c r="I74" s="111"/>
      <c r="J74" s="111">
        <f t="shared" si="4"/>
        <v>0</v>
      </c>
      <c r="K74" s="113">
        <f t="shared" si="5"/>
        <v>0</v>
      </c>
    </row>
    <row r="75" spans="1:11" s="138" customFormat="1" ht="15.75" customHeight="1" hidden="1" outlineLevel="3">
      <c r="A75" s="136" t="s">
        <v>409</v>
      </c>
      <c r="B75" s="137" t="s">
        <v>389</v>
      </c>
      <c r="C75" s="137">
        <v>470</v>
      </c>
      <c r="D75" s="137">
        <v>12</v>
      </c>
      <c r="E75" s="112"/>
      <c r="F75" s="110">
        <f t="shared" si="3"/>
        <v>0</v>
      </c>
      <c r="G75" s="112"/>
      <c r="H75" s="111"/>
      <c r="I75" s="111"/>
      <c r="J75" s="111">
        <f t="shared" si="4"/>
        <v>0</v>
      </c>
      <c r="K75" s="113">
        <f t="shared" si="5"/>
        <v>0</v>
      </c>
    </row>
    <row r="76" spans="1:11" s="138" customFormat="1" ht="15.75" customHeight="1" hidden="1" outlineLevel="3">
      <c r="A76" s="136" t="s">
        <v>410</v>
      </c>
      <c r="B76" s="137" t="s">
        <v>389</v>
      </c>
      <c r="C76" s="137">
        <v>540</v>
      </c>
      <c r="D76" s="137">
        <v>12</v>
      </c>
      <c r="E76" s="112"/>
      <c r="F76" s="110">
        <f t="shared" si="3"/>
        <v>0</v>
      </c>
      <c r="G76" s="112"/>
      <c r="H76" s="111"/>
      <c r="I76" s="111"/>
      <c r="J76" s="111">
        <f t="shared" si="4"/>
        <v>0</v>
      </c>
      <c r="K76" s="113">
        <f t="shared" si="5"/>
        <v>0</v>
      </c>
    </row>
    <row r="77" spans="1:11" s="138" customFormat="1" ht="15.75" customHeight="1" hidden="1" outlineLevel="3">
      <c r="A77" s="136" t="s">
        <v>411</v>
      </c>
      <c r="B77" s="137" t="s">
        <v>389</v>
      </c>
      <c r="C77" s="137">
        <v>530</v>
      </c>
      <c r="D77" s="137">
        <v>12</v>
      </c>
      <c r="E77" s="112"/>
      <c r="F77" s="110">
        <f t="shared" si="3"/>
        <v>0</v>
      </c>
      <c r="G77" s="112"/>
      <c r="H77" s="111"/>
      <c r="I77" s="111"/>
      <c r="J77" s="111">
        <f t="shared" si="4"/>
        <v>0</v>
      </c>
      <c r="K77" s="113">
        <f t="shared" si="5"/>
        <v>0</v>
      </c>
    </row>
    <row r="78" spans="1:11" s="138" customFormat="1" ht="15.75" customHeight="1" hidden="1" outlineLevel="3">
      <c r="A78" s="136" t="s">
        <v>412</v>
      </c>
      <c r="B78" s="137" t="s">
        <v>389</v>
      </c>
      <c r="C78" s="137">
        <v>510</v>
      </c>
      <c r="D78" s="137">
        <v>12</v>
      </c>
      <c r="E78" s="112"/>
      <c r="F78" s="110">
        <f t="shared" si="3"/>
        <v>0</v>
      </c>
      <c r="G78" s="112"/>
      <c r="H78" s="111"/>
      <c r="I78" s="111"/>
      <c r="J78" s="111">
        <f t="shared" si="4"/>
        <v>0</v>
      </c>
      <c r="K78" s="113">
        <f t="shared" si="5"/>
        <v>0</v>
      </c>
    </row>
    <row r="79" spans="1:11" s="138" customFormat="1" ht="15.75" customHeight="1" hidden="1" outlineLevel="3">
      <c r="A79" s="136" t="s">
        <v>413</v>
      </c>
      <c r="B79" s="137" t="s">
        <v>389</v>
      </c>
      <c r="C79" s="137">
        <v>470</v>
      </c>
      <c r="D79" s="137">
        <v>12</v>
      </c>
      <c r="E79" s="112"/>
      <c r="F79" s="110">
        <f t="shared" si="3"/>
        <v>0</v>
      </c>
      <c r="G79" s="112"/>
      <c r="H79" s="111"/>
      <c r="I79" s="111"/>
      <c r="J79" s="111">
        <f t="shared" si="4"/>
        <v>0</v>
      </c>
      <c r="K79" s="113">
        <f t="shared" si="5"/>
        <v>0</v>
      </c>
    </row>
    <row r="80" spans="1:11" s="138" customFormat="1" ht="15.75" customHeight="1" hidden="1" outlineLevel="3">
      <c r="A80" s="136" t="s">
        <v>414</v>
      </c>
      <c r="B80" s="137" t="s">
        <v>389</v>
      </c>
      <c r="C80" s="137">
        <v>460</v>
      </c>
      <c r="D80" s="137">
        <v>12</v>
      </c>
      <c r="E80" s="112"/>
      <c r="F80" s="110">
        <f t="shared" si="3"/>
        <v>0</v>
      </c>
      <c r="G80" s="112"/>
      <c r="H80" s="111"/>
      <c r="I80" s="111"/>
      <c r="J80" s="111">
        <f t="shared" si="4"/>
        <v>0</v>
      </c>
      <c r="K80" s="113">
        <f t="shared" si="5"/>
        <v>0</v>
      </c>
    </row>
    <row r="81" spans="1:11" s="138" customFormat="1" ht="15.75" customHeight="1" hidden="1" outlineLevel="3">
      <c r="A81" s="136" t="s">
        <v>415</v>
      </c>
      <c r="B81" s="137" t="s">
        <v>389</v>
      </c>
      <c r="C81" s="137">
        <v>450</v>
      </c>
      <c r="D81" s="137">
        <v>12</v>
      </c>
      <c r="E81" s="112"/>
      <c r="F81" s="110">
        <f t="shared" si="3"/>
        <v>0</v>
      </c>
      <c r="G81" s="112"/>
      <c r="H81" s="111"/>
      <c r="I81" s="111"/>
      <c r="J81" s="111">
        <f t="shared" si="4"/>
        <v>0</v>
      </c>
      <c r="K81" s="113">
        <f t="shared" si="5"/>
        <v>0</v>
      </c>
    </row>
    <row r="82" spans="1:11" s="138" customFormat="1" ht="15.75" customHeight="1" hidden="1" outlineLevel="3">
      <c r="A82" s="136" t="s">
        <v>416</v>
      </c>
      <c r="B82" s="137" t="s">
        <v>389</v>
      </c>
      <c r="C82" s="137">
        <v>560</v>
      </c>
      <c r="D82" s="137">
        <v>12</v>
      </c>
      <c r="E82" s="112"/>
      <c r="F82" s="110">
        <f t="shared" si="3"/>
        <v>0</v>
      </c>
      <c r="G82" s="112"/>
      <c r="H82" s="111"/>
      <c r="I82" s="111"/>
      <c r="J82" s="111">
        <f t="shared" si="4"/>
        <v>0</v>
      </c>
      <c r="K82" s="113">
        <f t="shared" si="5"/>
        <v>0</v>
      </c>
    </row>
    <row r="83" spans="1:11" s="138" customFormat="1" ht="15.75" customHeight="1" hidden="1" outlineLevel="3">
      <c r="A83" s="136" t="s">
        <v>417</v>
      </c>
      <c r="B83" s="137" t="s">
        <v>389</v>
      </c>
      <c r="C83" s="137">
        <v>540</v>
      </c>
      <c r="D83" s="137">
        <v>12</v>
      </c>
      <c r="E83" s="112"/>
      <c r="F83" s="110">
        <f t="shared" si="3"/>
        <v>0</v>
      </c>
      <c r="G83" s="112"/>
      <c r="H83" s="111"/>
      <c r="I83" s="111"/>
      <c r="J83" s="111">
        <f t="shared" si="4"/>
        <v>0</v>
      </c>
      <c r="K83" s="113">
        <f t="shared" si="5"/>
        <v>0</v>
      </c>
    </row>
    <row r="84" spans="1:11" s="138" customFormat="1" ht="15.75" customHeight="1" hidden="1" outlineLevel="3">
      <c r="A84" s="136" t="s">
        <v>418</v>
      </c>
      <c r="B84" s="137" t="s">
        <v>389</v>
      </c>
      <c r="C84" s="137">
        <v>520</v>
      </c>
      <c r="D84" s="137">
        <v>12</v>
      </c>
      <c r="E84" s="112"/>
      <c r="F84" s="110">
        <f t="shared" si="3"/>
        <v>0</v>
      </c>
      <c r="G84" s="112"/>
      <c r="H84" s="111"/>
      <c r="I84" s="111"/>
      <c r="J84" s="111">
        <f t="shared" si="4"/>
        <v>0</v>
      </c>
      <c r="K84" s="113">
        <f t="shared" si="5"/>
        <v>0</v>
      </c>
    </row>
    <row r="85" spans="1:11" s="138" customFormat="1" ht="15.75" customHeight="1" hidden="1" outlineLevel="3">
      <c r="A85" s="136" t="s">
        <v>419</v>
      </c>
      <c r="B85" s="137" t="s">
        <v>389</v>
      </c>
      <c r="C85" s="137">
        <v>580</v>
      </c>
      <c r="D85" s="137">
        <v>12</v>
      </c>
      <c r="E85" s="112"/>
      <c r="F85" s="110">
        <f t="shared" si="3"/>
        <v>0</v>
      </c>
      <c r="G85" s="112"/>
      <c r="H85" s="111"/>
      <c r="I85" s="111"/>
      <c r="J85" s="111">
        <f t="shared" si="4"/>
        <v>0</v>
      </c>
      <c r="K85" s="113">
        <f t="shared" si="5"/>
        <v>0</v>
      </c>
    </row>
    <row r="86" spans="1:11" s="138" customFormat="1" ht="15.75" customHeight="1" hidden="1" outlineLevel="3">
      <c r="A86" s="136" t="s">
        <v>420</v>
      </c>
      <c r="B86" s="137" t="s">
        <v>389</v>
      </c>
      <c r="C86" s="137">
        <v>580</v>
      </c>
      <c r="D86" s="137">
        <v>12</v>
      </c>
      <c r="E86" s="112"/>
      <c r="F86" s="110">
        <f t="shared" si="3"/>
        <v>0</v>
      </c>
      <c r="G86" s="112"/>
      <c r="H86" s="111"/>
      <c r="I86" s="111"/>
      <c r="J86" s="111">
        <f t="shared" si="4"/>
        <v>0</v>
      </c>
      <c r="K86" s="113">
        <f t="shared" si="5"/>
        <v>0</v>
      </c>
    </row>
    <row r="87" spans="1:11" s="138" customFormat="1" ht="15.75" customHeight="1" hidden="1" outlineLevel="3">
      <c r="A87" s="136" t="s">
        <v>421</v>
      </c>
      <c r="B87" s="137" t="s">
        <v>389</v>
      </c>
      <c r="C87" s="137">
        <v>560</v>
      </c>
      <c r="D87" s="137">
        <v>12</v>
      </c>
      <c r="E87" s="112"/>
      <c r="F87" s="110">
        <f t="shared" si="3"/>
        <v>0</v>
      </c>
      <c r="G87" s="112"/>
      <c r="H87" s="111"/>
      <c r="I87" s="111"/>
      <c r="J87" s="111">
        <f t="shared" si="4"/>
        <v>0</v>
      </c>
      <c r="K87" s="113">
        <f t="shared" si="5"/>
        <v>0</v>
      </c>
    </row>
    <row r="88" spans="1:11" s="138" customFormat="1" ht="15.75" customHeight="1" hidden="1" outlineLevel="3">
      <c r="A88" s="136" t="s">
        <v>422</v>
      </c>
      <c r="B88" s="137" t="s">
        <v>389</v>
      </c>
      <c r="C88" s="137">
        <v>510</v>
      </c>
      <c r="D88" s="137">
        <v>12</v>
      </c>
      <c r="E88" s="112"/>
      <c r="F88" s="110">
        <f t="shared" si="3"/>
        <v>0</v>
      </c>
      <c r="G88" s="112"/>
      <c r="H88" s="111"/>
      <c r="I88" s="111"/>
      <c r="J88" s="111">
        <f t="shared" si="4"/>
        <v>0</v>
      </c>
      <c r="K88" s="113">
        <f t="shared" si="5"/>
        <v>0</v>
      </c>
    </row>
    <row r="89" spans="1:11" s="138" customFormat="1" ht="15.75" customHeight="1" hidden="1" outlineLevel="3">
      <c r="A89" s="136" t="s">
        <v>423</v>
      </c>
      <c r="B89" s="137" t="s">
        <v>389</v>
      </c>
      <c r="C89" s="137">
        <v>510</v>
      </c>
      <c r="D89" s="137">
        <v>12</v>
      </c>
      <c r="E89" s="112"/>
      <c r="F89" s="110">
        <f t="shared" si="3"/>
        <v>0</v>
      </c>
      <c r="G89" s="112"/>
      <c r="H89" s="111"/>
      <c r="I89" s="111"/>
      <c r="J89" s="111">
        <f t="shared" si="4"/>
        <v>0</v>
      </c>
      <c r="K89" s="113">
        <f t="shared" si="5"/>
        <v>0</v>
      </c>
    </row>
    <row r="90" spans="1:11" s="138" customFormat="1" ht="15.75" customHeight="1" hidden="1" outlineLevel="3">
      <c r="A90" s="136" t="s">
        <v>424</v>
      </c>
      <c r="B90" s="137" t="s">
        <v>389</v>
      </c>
      <c r="C90" s="137">
        <v>490</v>
      </c>
      <c r="D90" s="137">
        <v>12</v>
      </c>
      <c r="E90" s="112"/>
      <c r="F90" s="110">
        <f t="shared" si="3"/>
        <v>0</v>
      </c>
      <c r="G90" s="112"/>
      <c r="H90" s="111"/>
      <c r="I90" s="111"/>
      <c r="J90" s="111">
        <f t="shared" si="4"/>
        <v>0</v>
      </c>
      <c r="K90" s="113">
        <f t="shared" si="5"/>
        <v>0</v>
      </c>
    </row>
    <row r="91" spans="1:11" s="138" customFormat="1" ht="15.75" customHeight="1" hidden="1" outlineLevel="3">
      <c r="A91" s="136" t="s">
        <v>425</v>
      </c>
      <c r="B91" s="137" t="s">
        <v>389</v>
      </c>
      <c r="C91" s="137">
        <v>610</v>
      </c>
      <c r="D91" s="137">
        <v>12</v>
      </c>
      <c r="E91" s="112"/>
      <c r="F91" s="110">
        <f t="shared" si="3"/>
        <v>0</v>
      </c>
      <c r="G91" s="112"/>
      <c r="H91" s="111"/>
      <c r="I91" s="111"/>
      <c r="J91" s="111">
        <f t="shared" si="4"/>
        <v>0</v>
      </c>
      <c r="K91" s="113">
        <f t="shared" si="5"/>
        <v>0</v>
      </c>
    </row>
    <row r="92" spans="1:11" s="138" customFormat="1" ht="15.75" customHeight="1" hidden="1" outlineLevel="3">
      <c r="A92" s="136" t="s">
        <v>426</v>
      </c>
      <c r="B92" s="137" t="s">
        <v>389</v>
      </c>
      <c r="C92" s="137">
        <v>490</v>
      </c>
      <c r="D92" s="137">
        <v>12</v>
      </c>
      <c r="E92" s="112"/>
      <c r="F92" s="110">
        <f t="shared" si="3"/>
        <v>0</v>
      </c>
      <c r="G92" s="112"/>
      <c r="H92" s="111"/>
      <c r="I92" s="111"/>
      <c r="J92" s="111">
        <f t="shared" si="4"/>
        <v>0</v>
      </c>
      <c r="K92" s="113">
        <f t="shared" si="5"/>
        <v>0</v>
      </c>
    </row>
    <row r="93" spans="1:11" s="138" customFormat="1" ht="15.75" customHeight="1" hidden="1" outlineLevel="3">
      <c r="A93" s="136" t="s">
        <v>427</v>
      </c>
      <c r="B93" s="137" t="s">
        <v>389</v>
      </c>
      <c r="C93" s="137">
        <v>470</v>
      </c>
      <c r="D93" s="137">
        <v>12</v>
      </c>
      <c r="E93" s="112"/>
      <c r="F93" s="110">
        <f t="shared" si="3"/>
        <v>0</v>
      </c>
      <c r="G93" s="112"/>
      <c r="H93" s="111"/>
      <c r="I93" s="111"/>
      <c r="J93" s="111">
        <f t="shared" si="4"/>
        <v>0</v>
      </c>
      <c r="K93" s="113">
        <f t="shared" si="5"/>
        <v>0</v>
      </c>
    </row>
    <row r="94" spans="1:11" s="138" customFormat="1" ht="15.75" customHeight="1" hidden="1" outlineLevel="3">
      <c r="A94" s="136" t="s">
        <v>428</v>
      </c>
      <c r="B94" s="137" t="s">
        <v>389</v>
      </c>
      <c r="C94" s="137">
        <v>640</v>
      </c>
      <c r="D94" s="137">
        <v>12</v>
      </c>
      <c r="E94" s="112"/>
      <c r="F94" s="110">
        <f t="shared" si="3"/>
        <v>0</v>
      </c>
      <c r="G94" s="112"/>
      <c r="H94" s="111"/>
      <c r="I94" s="111"/>
      <c r="J94" s="111">
        <f t="shared" si="4"/>
        <v>0</v>
      </c>
      <c r="K94" s="113">
        <f t="shared" si="5"/>
        <v>0</v>
      </c>
    </row>
    <row r="95" spans="1:11" s="138" customFormat="1" ht="15.75" customHeight="1" hidden="1" outlineLevel="3">
      <c r="A95" s="136" t="s">
        <v>429</v>
      </c>
      <c r="B95" s="137" t="s">
        <v>389</v>
      </c>
      <c r="C95" s="137">
        <v>630</v>
      </c>
      <c r="D95" s="137">
        <v>12</v>
      </c>
      <c r="E95" s="112"/>
      <c r="F95" s="110">
        <f t="shared" si="3"/>
        <v>0</v>
      </c>
      <c r="G95" s="112"/>
      <c r="H95" s="111"/>
      <c r="I95" s="111"/>
      <c r="J95" s="111">
        <f t="shared" si="4"/>
        <v>0</v>
      </c>
      <c r="K95" s="113">
        <f t="shared" si="5"/>
        <v>0</v>
      </c>
    </row>
    <row r="96" spans="1:11" s="138" customFormat="1" ht="15.75" customHeight="1" hidden="1" outlineLevel="3">
      <c r="A96" s="136" t="s">
        <v>430</v>
      </c>
      <c r="B96" s="137" t="s">
        <v>389</v>
      </c>
      <c r="C96" s="137">
        <v>610</v>
      </c>
      <c r="D96" s="137">
        <v>12</v>
      </c>
      <c r="E96" s="112"/>
      <c r="F96" s="110">
        <f t="shared" si="3"/>
        <v>0</v>
      </c>
      <c r="G96" s="112"/>
      <c r="H96" s="111"/>
      <c r="I96" s="111"/>
      <c r="J96" s="111">
        <f t="shared" si="4"/>
        <v>0</v>
      </c>
      <c r="K96" s="113">
        <f t="shared" si="5"/>
        <v>0</v>
      </c>
    </row>
    <row r="97" spans="1:11" s="138" customFormat="1" ht="15.75" customHeight="1" hidden="1" outlineLevel="3">
      <c r="A97" s="136" t="s">
        <v>431</v>
      </c>
      <c r="B97" s="137" t="s">
        <v>389</v>
      </c>
      <c r="C97" s="137">
        <v>570</v>
      </c>
      <c r="D97" s="137">
        <v>12</v>
      </c>
      <c r="E97" s="112"/>
      <c r="F97" s="110">
        <f t="shared" si="3"/>
        <v>0</v>
      </c>
      <c r="G97" s="112"/>
      <c r="H97" s="111"/>
      <c r="I97" s="111"/>
      <c r="J97" s="111">
        <f t="shared" si="4"/>
        <v>0</v>
      </c>
      <c r="K97" s="113">
        <f t="shared" si="5"/>
        <v>0</v>
      </c>
    </row>
    <row r="98" spans="1:11" s="138" customFormat="1" ht="15.75" customHeight="1" hidden="1" outlineLevel="3">
      <c r="A98" s="136" t="s">
        <v>432</v>
      </c>
      <c r="B98" s="137" t="s">
        <v>389</v>
      </c>
      <c r="C98" s="137">
        <v>560</v>
      </c>
      <c r="D98" s="137">
        <v>12</v>
      </c>
      <c r="E98" s="112"/>
      <c r="F98" s="110">
        <f t="shared" si="3"/>
        <v>0</v>
      </c>
      <c r="G98" s="112"/>
      <c r="H98" s="111"/>
      <c r="I98" s="111"/>
      <c r="J98" s="111">
        <f t="shared" si="4"/>
        <v>0</v>
      </c>
      <c r="K98" s="113">
        <f t="shared" si="5"/>
        <v>0</v>
      </c>
    </row>
    <row r="99" spans="1:11" s="138" customFormat="1" ht="15.75" customHeight="1" hidden="1" outlineLevel="3">
      <c r="A99" s="136" t="s">
        <v>433</v>
      </c>
      <c r="B99" s="137" t="s">
        <v>389</v>
      </c>
      <c r="C99" s="137">
        <v>540</v>
      </c>
      <c r="D99" s="137">
        <v>12</v>
      </c>
      <c r="E99" s="112"/>
      <c r="F99" s="110">
        <f t="shared" si="3"/>
        <v>0</v>
      </c>
      <c r="G99" s="112"/>
      <c r="H99" s="111"/>
      <c r="I99" s="111"/>
      <c r="J99" s="111">
        <f t="shared" si="4"/>
        <v>0</v>
      </c>
      <c r="K99" s="113">
        <f t="shared" si="5"/>
        <v>0</v>
      </c>
    </row>
    <row r="100" spans="1:11" s="138" customFormat="1" ht="15.75" customHeight="1" hidden="1" outlineLevel="3">
      <c r="A100" s="136" t="s">
        <v>434</v>
      </c>
      <c r="B100" s="137" t="s">
        <v>389</v>
      </c>
      <c r="C100" s="137">
        <v>460</v>
      </c>
      <c r="D100" s="137">
        <v>12</v>
      </c>
      <c r="E100" s="112"/>
      <c r="F100" s="110">
        <f t="shared" si="3"/>
        <v>0</v>
      </c>
      <c r="G100" s="112"/>
      <c r="H100" s="111"/>
      <c r="I100" s="111"/>
      <c r="J100" s="111">
        <f t="shared" si="4"/>
        <v>0</v>
      </c>
      <c r="K100" s="113">
        <f t="shared" si="5"/>
        <v>0</v>
      </c>
    </row>
    <row r="101" spans="1:11" s="138" customFormat="1" ht="15.75" customHeight="1" hidden="1" outlineLevel="3">
      <c r="A101" s="136" t="s">
        <v>435</v>
      </c>
      <c r="B101" s="137" t="s">
        <v>389</v>
      </c>
      <c r="C101" s="137">
        <v>440</v>
      </c>
      <c r="D101" s="137">
        <v>12</v>
      </c>
      <c r="E101" s="112"/>
      <c r="F101" s="110">
        <f t="shared" si="3"/>
        <v>0</v>
      </c>
      <c r="G101" s="112"/>
      <c r="H101" s="111"/>
      <c r="I101" s="111"/>
      <c r="J101" s="111">
        <f t="shared" si="4"/>
        <v>0</v>
      </c>
      <c r="K101" s="113">
        <f t="shared" si="5"/>
        <v>0</v>
      </c>
    </row>
    <row r="102" spans="1:11" s="138" customFormat="1" ht="15.75" customHeight="1" hidden="1" outlineLevel="3">
      <c r="A102" s="136" t="s">
        <v>436</v>
      </c>
      <c r="B102" s="137" t="s">
        <v>389</v>
      </c>
      <c r="C102" s="137">
        <v>430</v>
      </c>
      <c r="D102" s="137">
        <v>12</v>
      </c>
      <c r="E102" s="112"/>
      <c r="F102" s="110">
        <f t="shared" si="3"/>
        <v>0</v>
      </c>
      <c r="G102" s="112"/>
      <c r="H102" s="111"/>
      <c r="I102" s="111"/>
      <c r="J102" s="111">
        <f t="shared" si="4"/>
        <v>0</v>
      </c>
      <c r="K102" s="113">
        <f t="shared" si="5"/>
        <v>0</v>
      </c>
    </row>
    <row r="103" spans="1:11" s="138" customFormat="1" ht="15.75" customHeight="1" hidden="1" outlineLevel="3">
      <c r="A103" s="136" t="s">
        <v>437</v>
      </c>
      <c r="B103" s="137" t="s">
        <v>389</v>
      </c>
      <c r="C103" s="112">
        <v>480</v>
      </c>
      <c r="D103" s="137">
        <v>12</v>
      </c>
      <c r="E103" s="112"/>
      <c r="F103" s="110">
        <f t="shared" si="3"/>
        <v>0</v>
      </c>
      <c r="G103" s="112"/>
      <c r="H103" s="111"/>
      <c r="I103" s="111"/>
      <c r="J103" s="111">
        <f t="shared" si="4"/>
        <v>0</v>
      </c>
      <c r="K103" s="113">
        <f t="shared" si="5"/>
        <v>0</v>
      </c>
    </row>
    <row r="104" spans="1:11" s="138" customFormat="1" ht="15.75" customHeight="1" hidden="1" outlineLevel="3">
      <c r="A104" s="136" t="s">
        <v>438</v>
      </c>
      <c r="B104" s="137" t="s">
        <v>389</v>
      </c>
      <c r="C104" s="112">
        <v>470</v>
      </c>
      <c r="D104" s="137">
        <v>12</v>
      </c>
      <c r="E104" s="112"/>
      <c r="F104" s="110">
        <f t="shared" si="3"/>
        <v>0</v>
      </c>
      <c r="G104" s="112"/>
      <c r="H104" s="111"/>
      <c r="I104" s="111"/>
      <c r="J104" s="111">
        <f t="shared" si="4"/>
        <v>0</v>
      </c>
      <c r="K104" s="113">
        <f t="shared" si="5"/>
        <v>0</v>
      </c>
    </row>
    <row r="105" spans="1:11" s="138" customFormat="1" ht="15.75" customHeight="1" hidden="1" outlineLevel="3">
      <c r="A105" s="136" t="s">
        <v>439</v>
      </c>
      <c r="B105" s="137" t="s">
        <v>389</v>
      </c>
      <c r="C105" s="112">
        <v>460</v>
      </c>
      <c r="D105" s="137">
        <v>12</v>
      </c>
      <c r="E105" s="112"/>
      <c r="F105" s="110">
        <f t="shared" si="3"/>
        <v>0</v>
      </c>
      <c r="G105" s="112"/>
      <c r="H105" s="111"/>
      <c r="I105" s="111"/>
      <c r="J105" s="111">
        <f t="shared" si="4"/>
        <v>0</v>
      </c>
      <c r="K105" s="113">
        <f t="shared" si="5"/>
        <v>0</v>
      </c>
    </row>
    <row r="106" spans="1:11" s="138" customFormat="1" ht="15.75" customHeight="1" hidden="1" outlineLevel="3">
      <c r="A106" s="136" t="s">
        <v>440</v>
      </c>
      <c r="B106" s="137" t="s">
        <v>389</v>
      </c>
      <c r="C106" s="112">
        <v>380</v>
      </c>
      <c r="D106" s="137">
        <v>12</v>
      </c>
      <c r="E106" s="112"/>
      <c r="F106" s="110">
        <f t="shared" si="3"/>
        <v>0</v>
      </c>
      <c r="G106" s="112"/>
      <c r="H106" s="111"/>
      <c r="I106" s="111"/>
      <c r="J106" s="111">
        <f t="shared" si="4"/>
        <v>0</v>
      </c>
      <c r="K106" s="113">
        <f t="shared" si="5"/>
        <v>0</v>
      </c>
    </row>
    <row r="107" spans="1:11" s="138" customFormat="1" ht="15.75" customHeight="1" hidden="1" outlineLevel="3">
      <c r="A107" s="136" t="s">
        <v>441</v>
      </c>
      <c r="B107" s="137" t="s">
        <v>389</v>
      </c>
      <c r="C107" s="112">
        <v>370</v>
      </c>
      <c r="D107" s="137">
        <v>12</v>
      </c>
      <c r="E107" s="112"/>
      <c r="F107" s="110">
        <f t="shared" si="3"/>
        <v>0</v>
      </c>
      <c r="G107" s="112"/>
      <c r="H107" s="111"/>
      <c r="I107" s="111"/>
      <c r="J107" s="111">
        <f t="shared" si="4"/>
        <v>0</v>
      </c>
      <c r="K107" s="113">
        <f t="shared" si="5"/>
        <v>0</v>
      </c>
    </row>
    <row r="108" spans="1:11" s="138" customFormat="1" ht="15.75" customHeight="1" hidden="1" outlineLevel="3">
      <c r="A108" s="136" t="s">
        <v>442</v>
      </c>
      <c r="B108" s="137" t="s">
        <v>389</v>
      </c>
      <c r="C108" s="112">
        <v>360</v>
      </c>
      <c r="D108" s="137">
        <v>12</v>
      </c>
      <c r="E108" s="112"/>
      <c r="F108" s="110">
        <f t="shared" si="3"/>
        <v>0</v>
      </c>
      <c r="G108" s="112"/>
      <c r="H108" s="111"/>
      <c r="I108" s="111"/>
      <c r="J108" s="111">
        <f t="shared" si="4"/>
        <v>0</v>
      </c>
      <c r="K108" s="113">
        <f t="shared" si="5"/>
        <v>0</v>
      </c>
    </row>
    <row r="109" spans="1:11" s="138" customFormat="1" ht="15.75" customHeight="1" hidden="1" outlineLevel="3">
      <c r="A109" s="136" t="s">
        <v>443</v>
      </c>
      <c r="B109" s="137" t="s">
        <v>389</v>
      </c>
      <c r="C109" s="112">
        <v>510</v>
      </c>
      <c r="D109" s="137">
        <v>12</v>
      </c>
      <c r="E109" s="112"/>
      <c r="F109" s="110">
        <f t="shared" si="3"/>
        <v>0</v>
      </c>
      <c r="G109" s="112"/>
      <c r="H109" s="111"/>
      <c r="I109" s="111"/>
      <c r="J109" s="111">
        <f t="shared" si="4"/>
        <v>0</v>
      </c>
      <c r="K109" s="113">
        <f t="shared" si="5"/>
        <v>0</v>
      </c>
    </row>
    <row r="110" spans="1:11" s="138" customFormat="1" ht="15.75" customHeight="1" hidden="1" outlineLevel="3">
      <c r="A110" s="136" t="s">
        <v>444</v>
      </c>
      <c r="B110" s="137" t="s">
        <v>389</v>
      </c>
      <c r="C110" s="112">
        <v>490</v>
      </c>
      <c r="D110" s="137">
        <v>12</v>
      </c>
      <c r="E110" s="112"/>
      <c r="F110" s="110">
        <f t="shared" si="3"/>
        <v>0</v>
      </c>
      <c r="G110" s="112"/>
      <c r="H110" s="111"/>
      <c r="I110" s="111"/>
      <c r="J110" s="111">
        <f t="shared" si="4"/>
        <v>0</v>
      </c>
      <c r="K110" s="113">
        <f t="shared" si="5"/>
        <v>0</v>
      </c>
    </row>
    <row r="111" spans="1:11" s="138" customFormat="1" ht="15.75" customHeight="1" hidden="1" outlineLevel="3">
      <c r="A111" s="136" t="s">
        <v>445</v>
      </c>
      <c r="B111" s="137" t="s">
        <v>389</v>
      </c>
      <c r="C111" s="112">
        <v>470</v>
      </c>
      <c r="D111" s="137">
        <v>12</v>
      </c>
      <c r="E111" s="112"/>
      <c r="F111" s="110">
        <f t="shared" si="3"/>
        <v>0</v>
      </c>
      <c r="G111" s="112"/>
      <c r="H111" s="111"/>
      <c r="I111" s="111"/>
      <c r="J111" s="111">
        <f t="shared" si="4"/>
        <v>0</v>
      </c>
      <c r="K111" s="113">
        <f t="shared" si="5"/>
        <v>0</v>
      </c>
    </row>
    <row r="112" spans="1:11" s="138" customFormat="1" ht="15.75" customHeight="1" hidden="1" outlineLevel="3">
      <c r="A112" s="136" t="s">
        <v>446</v>
      </c>
      <c r="B112" s="137" t="s">
        <v>389</v>
      </c>
      <c r="C112" s="112">
        <v>560</v>
      </c>
      <c r="D112" s="137">
        <v>12</v>
      </c>
      <c r="E112" s="112"/>
      <c r="F112" s="110">
        <f t="shared" si="3"/>
        <v>0</v>
      </c>
      <c r="G112" s="112"/>
      <c r="H112" s="111"/>
      <c r="I112" s="111"/>
      <c r="J112" s="111">
        <f t="shared" si="4"/>
        <v>0</v>
      </c>
      <c r="K112" s="113">
        <f t="shared" si="5"/>
        <v>0</v>
      </c>
    </row>
    <row r="113" spans="1:11" s="138" customFormat="1" ht="15.75" customHeight="1" hidden="1" outlineLevel="3">
      <c r="A113" s="136" t="s">
        <v>447</v>
      </c>
      <c r="B113" s="137" t="s">
        <v>389</v>
      </c>
      <c r="C113" s="112">
        <v>550</v>
      </c>
      <c r="D113" s="137">
        <v>12</v>
      </c>
      <c r="E113" s="112"/>
      <c r="F113" s="110">
        <f t="shared" si="3"/>
        <v>0</v>
      </c>
      <c r="G113" s="112"/>
      <c r="H113" s="111"/>
      <c r="I113" s="111"/>
      <c r="J113" s="111">
        <f t="shared" si="4"/>
        <v>0</v>
      </c>
      <c r="K113" s="113">
        <f t="shared" si="5"/>
        <v>0</v>
      </c>
    </row>
    <row r="114" spans="1:11" s="138" customFormat="1" ht="15.75" customHeight="1" hidden="1" outlineLevel="3">
      <c r="A114" s="136" t="s">
        <v>448</v>
      </c>
      <c r="B114" s="137" t="s">
        <v>389</v>
      </c>
      <c r="C114" s="112">
        <v>530</v>
      </c>
      <c r="D114" s="137">
        <v>12</v>
      </c>
      <c r="E114" s="112"/>
      <c r="F114" s="110">
        <f t="shared" si="3"/>
        <v>0</v>
      </c>
      <c r="G114" s="112"/>
      <c r="H114" s="111"/>
      <c r="I114" s="111"/>
      <c r="J114" s="111">
        <f t="shared" si="4"/>
        <v>0</v>
      </c>
      <c r="K114" s="113">
        <f t="shared" si="5"/>
        <v>0</v>
      </c>
    </row>
    <row r="115" spans="1:11" s="138" customFormat="1" ht="15.75" customHeight="1" hidden="1" outlineLevel="3">
      <c r="A115" s="136" t="s">
        <v>449</v>
      </c>
      <c r="B115" s="137" t="s">
        <v>389</v>
      </c>
      <c r="C115" s="112">
        <v>500</v>
      </c>
      <c r="D115" s="137">
        <v>12</v>
      </c>
      <c r="E115" s="112"/>
      <c r="F115" s="110">
        <f t="shared" si="3"/>
        <v>0</v>
      </c>
      <c r="G115" s="112"/>
      <c r="H115" s="111"/>
      <c r="I115" s="111"/>
      <c r="J115" s="111">
        <f t="shared" si="4"/>
        <v>0</v>
      </c>
      <c r="K115" s="113">
        <f t="shared" si="5"/>
        <v>0</v>
      </c>
    </row>
    <row r="116" spans="1:11" s="138" customFormat="1" ht="15.75" customHeight="1" hidden="1" outlineLevel="3">
      <c r="A116" s="136" t="s">
        <v>450</v>
      </c>
      <c r="B116" s="137" t="s">
        <v>389</v>
      </c>
      <c r="C116" s="112">
        <v>490</v>
      </c>
      <c r="D116" s="137">
        <v>12</v>
      </c>
      <c r="E116" s="112"/>
      <c r="F116" s="110">
        <f t="shared" si="3"/>
        <v>0</v>
      </c>
      <c r="G116" s="112"/>
      <c r="H116" s="111"/>
      <c r="I116" s="111"/>
      <c r="J116" s="111">
        <f t="shared" si="4"/>
        <v>0</v>
      </c>
      <c r="K116" s="113">
        <f t="shared" si="5"/>
        <v>0</v>
      </c>
    </row>
    <row r="117" spans="1:11" s="138" customFormat="1" ht="15.75" customHeight="1" hidden="1" outlineLevel="3">
      <c r="A117" s="136" t="s">
        <v>451</v>
      </c>
      <c r="B117" s="137" t="s">
        <v>389</v>
      </c>
      <c r="C117" s="112">
        <v>460</v>
      </c>
      <c r="D117" s="137">
        <v>12</v>
      </c>
      <c r="E117" s="112"/>
      <c r="F117" s="110">
        <f t="shared" si="3"/>
        <v>0</v>
      </c>
      <c r="G117" s="112"/>
      <c r="H117" s="111"/>
      <c r="I117" s="111"/>
      <c r="J117" s="111">
        <f t="shared" si="4"/>
        <v>0</v>
      </c>
      <c r="K117" s="113">
        <f t="shared" si="5"/>
        <v>0</v>
      </c>
    </row>
    <row r="118" spans="1:11" s="138" customFormat="1" ht="15.75" customHeight="1" hidden="1" outlineLevel="3">
      <c r="A118" s="136" t="s">
        <v>452</v>
      </c>
      <c r="B118" s="137" t="s">
        <v>389</v>
      </c>
      <c r="C118" s="112">
        <v>530</v>
      </c>
      <c r="D118" s="137">
        <v>12</v>
      </c>
      <c r="E118" s="112"/>
      <c r="F118" s="110">
        <f t="shared" si="3"/>
        <v>0</v>
      </c>
      <c r="G118" s="112"/>
      <c r="H118" s="111"/>
      <c r="I118" s="111"/>
      <c r="J118" s="111">
        <f t="shared" si="4"/>
        <v>0</v>
      </c>
      <c r="K118" s="113">
        <f t="shared" si="5"/>
        <v>0</v>
      </c>
    </row>
    <row r="119" spans="1:11" s="138" customFormat="1" ht="15.75" customHeight="1" hidden="1" outlineLevel="3">
      <c r="A119" s="136" t="s">
        <v>453</v>
      </c>
      <c r="B119" s="137" t="s">
        <v>389</v>
      </c>
      <c r="C119" s="112">
        <v>510</v>
      </c>
      <c r="D119" s="137">
        <v>12</v>
      </c>
      <c r="E119" s="112"/>
      <c r="F119" s="110">
        <f t="shared" si="3"/>
        <v>0</v>
      </c>
      <c r="G119" s="112"/>
      <c r="H119" s="111"/>
      <c r="I119" s="111"/>
      <c r="J119" s="111">
        <f t="shared" si="4"/>
        <v>0</v>
      </c>
      <c r="K119" s="113">
        <f t="shared" si="5"/>
        <v>0</v>
      </c>
    </row>
    <row r="120" spans="1:11" s="138" customFormat="1" ht="15.75" customHeight="1" hidden="1" outlineLevel="3">
      <c r="A120" s="136" t="s">
        <v>454</v>
      </c>
      <c r="B120" s="137" t="s">
        <v>389</v>
      </c>
      <c r="C120" s="112">
        <v>490</v>
      </c>
      <c r="D120" s="137">
        <v>12</v>
      </c>
      <c r="E120" s="112"/>
      <c r="F120" s="110">
        <f aca="true" t="shared" si="6" ref="F120:F144">E120/C120*D120</f>
        <v>0</v>
      </c>
      <c r="G120" s="112"/>
      <c r="H120" s="111"/>
      <c r="I120" s="111"/>
      <c r="J120" s="111">
        <f t="shared" si="4"/>
        <v>0</v>
      </c>
      <c r="K120" s="113">
        <f t="shared" si="5"/>
        <v>0</v>
      </c>
    </row>
    <row r="121" spans="1:11" s="138" customFormat="1" ht="15.75" customHeight="1" hidden="1" outlineLevel="3">
      <c r="A121" s="136" t="s">
        <v>455</v>
      </c>
      <c r="B121" s="137" t="s">
        <v>389</v>
      </c>
      <c r="C121" s="112">
        <v>560</v>
      </c>
      <c r="D121" s="137">
        <v>12</v>
      </c>
      <c r="E121" s="112"/>
      <c r="F121" s="110">
        <f t="shared" si="6"/>
        <v>0</v>
      </c>
      <c r="G121" s="112"/>
      <c r="H121" s="111"/>
      <c r="I121" s="111"/>
      <c r="J121" s="111">
        <f t="shared" si="4"/>
        <v>0</v>
      </c>
      <c r="K121" s="113">
        <f t="shared" si="5"/>
        <v>0</v>
      </c>
    </row>
    <row r="122" spans="1:11" s="138" customFormat="1" ht="15.75" customHeight="1" hidden="1" outlineLevel="3">
      <c r="A122" s="136" t="s">
        <v>456</v>
      </c>
      <c r="B122" s="137" t="s">
        <v>389</v>
      </c>
      <c r="C122" s="112">
        <v>550</v>
      </c>
      <c r="D122" s="137">
        <v>12</v>
      </c>
      <c r="E122" s="112"/>
      <c r="F122" s="110">
        <f t="shared" si="6"/>
        <v>0</v>
      </c>
      <c r="G122" s="112"/>
      <c r="H122" s="111"/>
      <c r="I122" s="111"/>
      <c r="J122" s="111">
        <f t="shared" si="4"/>
        <v>0</v>
      </c>
      <c r="K122" s="113">
        <f t="shared" si="5"/>
        <v>0</v>
      </c>
    </row>
    <row r="123" spans="1:11" s="138" customFormat="1" ht="15.75" customHeight="1" hidden="1" outlineLevel="3">
      <c r="A123" s="136" t="s">
        <v>457</v>
      </c>
      <c r="B123" s="137" t="s">
        <v>389</v>
      </c>
      <c r="C123" s="112">
        <v>530</v>
      </c>
      <c r="D123" s="137">
        <v>12</v>
      </c>
      <c r="E123" s="112"/>
      <c r="F123" s="110">
        <f t="shared" si="6"/>
        <v>0</v>
      </c>
      <c r="G123" s="112"/>
      <c r="H123" s="111"/>
      <c r="I123" s="111"/>
      <c r="J123" s="111">
        <f t="shared" si="4"/>
        <v>0</v>
      </c>
      <c r="K123" s="113">
        <f t="shared" si="5"/>
        <v>0</v>
      </c>
    </row>
    <row r="124" spans="1:11" s="138" customFormat="1" ht="15.75" customHeight="1" hidden="1" outlineLevel="3">
      <c r="A124" s="136" t="s">
        <v>458</v>
      </c>
      <c r="B124" s="137" t="s">
        <v>389</v>
      </c>
      <c r="C124" s="112">
        <v>490</v>
      </c>
      <c r="D124" s="137">
        <v>12</v>
      </c>
      <c r="E124" s="112"/>
      <c r="F124" s="110">
        <f t="shared" si="6"/>
        <v>0</v>
      </c>
      <c r="G124" s="112"/>
      <c r="H124" s="111"/>
      <c r="I124" s="111"/>
      <c r="J124" s="111">
        <f t="shared" si="4"/>
        <v>0</v>
      </c>
      <c r="K124" s="113">
        <f t="shared" si="5"/>
        <v>0</v>
      </c>
    </row>
    <row r="125" spans="1:11" s="138" customFormat="1" ht="15.75" customHeight="1" hidden="1" outlineLevel="3">
      <c r="A125" s="136" t="s">
        <v>459</v>
      </c>
      <c r="B125" s="137" t="s">
        <v>389</v>
      </c>
      <c r="C125" s="112">
        <v>480</v>
      </c>
      <c r="D125" s="137">
        <v>12</v>
      </c>
      <c r="E125" s="112"/>
      <c r="F125" s="110">
        <f t="shared" si="6"/>
        <v>0</v>
      </c>
      <c r="G125" s="112"/>
      <c r="H125" s="111"/>
      <c r="I125" s="111"/>
      <c r="J125" s="111">
        <f t="shared" si="4"/>
        <v>0</v>
      </c>
      <c r="K125" s="113">
        <f t="shared" si="5"/>
        <v>0</v>
      </c>
    </row>
    <row r="126" spans="1:11" s="138" customFormat="1" ht="15.75" customHeight="1" hidden="1" outlineLevel="3">
      <c r="A126" s="136" t="s">
        <v>460</v>
      </c>
      <c r="B126" s="137" t="s">
        <v>389</v>
      </c>
      <c r="C126" s="112">
        <v>470</v>
      </c>
      <c r="D126" s="137">
        <v>12</v>
      </c>
      <c r="E126" s="112"/>
      <c r="F126" s="110">
        <f t="shared" si="6"/>
        <v>0</v>
      </c>
      <c r="G126" s="112"/>
      <c r="H126" s="111"/>
      <c r="I126" s="111"/>
      <c r="J126" s="111">
        <f t="shared" si="4"/>
        <v>0</v>
      </c>
      <c r="K126" s="113">
        <f t="shared" si="5"/>
        <v>0</v>
      </c>
    </row>
    <row r="127" spans="1:11" s="138" customFormat="1" ht="15.75" customHeight="1" hidden="1" outlineLevel="3">
      <c r="A127" s="136" t="s">
        <v>461</v>
      </c>
      <c r="B127" s="137" t="s">
        <v>389</v>
      </c>
      <c r="C127" s="112">
        <v>580</v>
      </c>
      <c r="D127" s="137">
        <v>12</v>
      </c>
      <c r="E127" s="112"/>
      <c r="F127" s="110">
        <f t="shared" si="6"/>
        <v>0</v>
      </c>
      <c r="G127" s="112"/>
      <c r="H127" s="111"/>
      <c r="I127" s="111"/>
      <c r="J127" s="111">
        <f t="shared" si="4"/>
        <v>0</v>
      </c>
      <c r="K127" s="113">
        <f t="shared" si="5"/>
        <v>0</v>
      </c>
    </row>
    <row r="128" spans="1:11" s="138" customFormat="1" ht="15.75" customHeight="1" hidden="1" outlineLevel="3">
      <c r="A128" s="136" t="s">
        <v>462</v>
      </c>
      <c r="B128" s="137" t="s">
        <v>389</v>
      </c>
      <c r="C128" s="112">
        <v>560</v>
      </c>
      <c r="D128" s="137">
        <v>12</v>
      </c>
      <c r="E128" s="112"/>
      <c r="F128" s="110">
        <f t="shared" si="6"/>
        <v>0</v>
      </c>
      <c r="G128" s="112"/>
      <c r="H128" s="111"/>
      <c r="I128" s="111"/>
      <c r="J128" s="111">
        <f t="shared" si="4"/>
        <v>0</v>
      </c>
      <c r="K128" s="113">
        <f t="shared" si="5"/>
        <v>0</v>
      </c>
    </row>
    <row r="129" spans="1:11" s="138" customFormat="1" ht="15.75" customHeight="1" hidden="1" outlineLevel="3">
      <c r="A129" s="136" t="s">
        <v>463</v>
      </c>
      <c r="B129" s="137" t="s">
        <v>389</v>
      </c>
      <c r="C129" s="112">
        <v>540</v>
      </c>
      <c r="D129" s="137">
        <v>12</v>
      </c>
      <c r="E129" s="112"/>
      <c r="F129" s="110">
        <f t="shared" si="6"/>
        <v>0</v>
      </c>
      <c r="G129" s="112"/>
      <c r="H129" s="111"/>
      <c r="I129" s="111"/>
      <c r="J129" s="111">
        <f t="shared" si="4"/>
        <v>0</v>
      </c>
      <c r="K129" s="113">
        <f t="shared" si="5"/>
        <v>0</v>
      </c>
    </row>
    <row r="130" spans="1:11" s="138" customFormat="1" ht="15.75" customHeight="1" hidden="1" outlineLevel="3">
      <c r="A130" s="136" t="s">
        <v>464</v>
      </c>
      <c r="B130" s="137" t="s">
        <v>389</v>
      </c>
      <c r="C130" s="112">
        <v>600</v>
      </c>
      <c r="D130" s="137">
        <v>12</v>
      </c>
      <c r="E130" s="112"/>
      <c r="F130" s="110">
        <f t="shared" si="6"/>
        <v>0</v>
      </c>
      <c r="G130" s="112"/>
      <c r="H130" s="111"/>
      <c r="I130" s="111"/>
      <c r="J130" s="111">
        <f t="shared" si="4"/>
        <v>0</v>
      </c>
      <c r="K130" s="113">
        <f t="shared" si="5"/>
        <v>0</v>
      </c>
    </row>
    <row r="131" spans="1:11" s="138" customFormat="1" ht="15.75" customHeight="1" hidden="1" outlineLevel="3">
      <c r="A131" s="136" t="s">
        <v>465</v>
      </c>
      <c r="B131" s="137" t="s">
        <v>389</v>
      </c>
      <c r="C131" s="112">
        <v>600</v>
      </c>
      <c r="D131" s="137">
        <v>12</v>
      </c>
      <c r="E131" s="112"/>
      <c r="F131" s="110">
        <f t="shared" si="6"/>
        <v>0</v>
      </c>
      <c r="G131" s="112"/>
      <c r="H131" s="111"/>
      <c r="I131" s="111"/>
      <c r="J131" s="111">
        <f t="shared" si="4"/>
        <v>0</v>
      </c>
      <c r="K131" s="113">
        <f t="shared" si="5"/>
        <v>0</v>
      </c>
    </row>
    <row r="132" spans="1:11" s="138" customFormat="1" ht="15.75" customHeight="1" hidden="1" outlineLevel="3">
      <c r="A132" s="136" t="s">
        <v>466</v>
      </c>
      <c r="B132" s="137" t="s">
        <v>389</v>
      </c>
      <c r="C132" s="112">
        <v>580</v>
      </c>
      <c r="D132" s="137">
        <v>12</v>
      </c>
      <c r="E132" s="112"/>
      <c r="F132" s="110">
        <f t="shared" si="6"/>
        <v>0</v>
      </c>
      <c r="G132" s="112"/>
      <c r="H132" s="111"/>
      <c r="I132" s="111"/>
      <c r="J132" s="111">
        <f t="shared" si="4"/>
        <v>0</v>
      </c>
      <c r="K132" s="113">
        <f t="shared" si="5"/>
        <v>0</v>
      </c>
    </row>
    <row r="133" spans="1:11" s="138" customFormat="1" ht="15.75" customHeight="1" hidden="1" outlineLevel="3">
      <c r="A133" s="136" t="s">
        <v>467</v>
      </c>
      <c r="B133" s="137" t="s">
        <v>389</v>
      </c>
      <c r="C133" s="112">
        <v>530</v>
      </c>
      <c r="D133" s="137">
        <v>12</v>
      </c>
      <c r="E133" s="112"/>
      <c r="F133" s="110">
        <f t="shared" si="6"/>
        <v>0</v>
      </c>
      <c r="G133" s="112"/>
      <c r="H133" s="111"/>
      <c r="I133" s="111"/>
      <c r="J133" s="111">
        <f t="shared" si="4"/>
        <v>0</v>
      </c>
      <c r="K133" s="113">
        <f t="shared" si="5"/>
        <v>0</v>
      </c>
    </row>
    <row r="134" spans="1:11" s="138" customFormat="1" ht="15.75" customHeight="1" hidden="1" outlineLevel="3">
      <c r="A134" s="136" t="s">
        <v>468</v>
      </c>
      <c r="B134" s="137" t="s">
        <v>389</v>
      </c>
      <c r="C134" s="112">
        <v>530</v>
      </c>
      <c r="D134" s="137">
        <v>12</v>
      </c>
      <c r="E134" s="112"/>
      <c r="F134" s="110">
        <f t="shared" si="6"/>
        <v>0</v>
      </c>
      <c r="G134" s="112"/>
      <c r="H134" s="111"/>
      <c r="I134" s="111"/>
      <c r="J134" s="111">
        <f t="shared" si="4"/>
        <v>0</v>
      </c>
      <c r="K134" s="113">
        <f t="shared" si="5"/>
        <v>0</v>
      </c>
    </row>
    <row r="135" spans="1:11" s="138" customFormat="1" ht="15.75" customHeight="1" hidden="1" outlineLevel="3">
      <c r="A135" s="136" t="s">
        <v>469</v>
      </c>
      <c r="B135" s="137" t="s">
        <v>389</v>
      </c>
      <c r="C135" s="112">
        <v>510</v>
      </c>
      <c r="D135" s="137">
        <v>12</v>
      </c>
      <c r="E135" s="112"/>
      <c r="F135" s="110">
        <f t="shared" si="6"/>
        <v>0</v>
      </c>
      <c r="G135" s="112"/>
      <c r="H135" s="111"/>
      <c r="I135" s="111"/>
      <c r="J135" s="111">
        <f t="shared" si="4"/>
        <v>0</v>
      </c>
      <c r="K135" s="113">
        <f t="shared" si="5"/>
        <v>0</v>
      </c>
    </row>
    <row r="136" spans="1:11" s="138" customFormat="1" ht="15.75" customHeight="1" hidden="1" outlineLevel="3">
      <c r="A136" s="136" t="s">
        <v>470</v>
      </c>
      <c r="B136" s="137" t="s">
        <v>389</v>
      </c>
      <c r="C136" s="112">
        <v>640</v>
      </c>
      <c r="D136" s="137">
        <v>12</v>
      </c>
      <c r="E136" s="112"/>
      <c r="F136" s="110">
        <f t="shared" si="6"/>
        <v>0</v>
      </c>
      <c r="G136" s="112"/>
      <c r="H136" s="111"/>
      <c r="I136" s="111"/>
      <c r="J136" s="111">
        <f aca="true" t="shared" si="7" ref="J136:J183">H136*$J$46/12/5115.6</f>
        <v>0</v>
      </c>
      <c r="K136" s="113">
        <f aca="true" t="shared" si="8" ref="K136:K183">H136*$K$46/12/579.9</f>
        <v>0</v>
      </c>
    </row>
    <row r="137" spans="1:11" s="138" customFormat="1" ht="15.75" customHeight="1" hidden="1" outlineLevel="3">
      <c r="A137" s="136" t="s">
        <v>471</v>
      </c>
      <c r="B137" s="137" t="s">
        <v>389</v>
      </c>
      <c r="C137" s="112">
        <v>510</v>
      </c>
      <c r="D137" s="137">
        <v>12</v>
      </c>
      <c r="E137" s="112"/>
      <c r="F137" s="110">
        <f t="shared" si="6"/>
        <v>0</v>
      </c>
      <c r="G137" s="112"/>
      <c r="H137" s="111"/>
      <c r="I137" s="111"/>
      <c r="J137" s="111">
        <f t="shared" si="7"/>
        <v>0</v>
      </c>
      <c r="K137" s="113">
        <f t="shared" si="8"/>
        <v>0</v>
      </c>
    </row>
    <row r="138" spans="1:11" s="138" customFormat="1" ht="15.75" customHeight="1" hidden="1" outlineLevel="3">
      <c r="A138" s="136" t="s">
        <v>472</v>
      </c>
      <c r="B138" s="137" t="s">
        <v>389</v>
      </c>
      <c r="C138" s="112">
        <v>490</v>
      </c>
      <c r="D138" s="137">
        <v>12</v>
      </c>
      <c r="E138" s="112"/>
      <c r="F138" s="110">
        <f t="shared" si="6"/>
        <v>0</v>
      </c>
      <c r="G138" s="112"/>
      <c r="H138" s="111"/>
      <c r="I138" s="111"/>
      <c r="J138" s="111">
        <f t="shared" si="7"/>
        <v>0</v>
      </c>
      <c r="K138" s="113">
        <f t="shared" si="8"/>
        <v>0</v>
      </c>
    </row>
    <row r="139" spans="1:11" s="138" customFormat="1" ht="15.75" customHeight="1" hidden="1" outlineLevel="3">
      <c r="A139" s="136" t="s">
        <v>473</v>
      </c>
      <c r="B139" s="137" t="s">
        <v>389</v>
      </c>
      <c r="C139" s="112">
        <v>670</v>
      </c>
      <c r="D139" s="137">
        <v>12</v>
      </c>
      <c r="E139" s="112"/>
      <c r="F139" s="110">
        <f t="shared" si="6"/>
        <v>0</v>
      </c>
      <c r="G139" s="112"/>
      <c r="H139" s="111"/>
      <c r="I139" s="111"/>
      <c r="J139" s="111">
        <f t="shared" si="7"/>
        <v>0</v>
      </c>
      <c r="K139" s="113">
        <f t="shared" si="8"/>
        <v>0</v>
      </c>
    </row>
    <row r="140" spans="1:11" s="138" customFormat="1" ht="15.75" customHeight="1" hidden="1" outlineLevel="3">
      <c r="A140" s="136" t="s">
        <v>474</v>
      </c>
      <c r="B140" s="137" t="s">
        <v>389</v>
      </c>
      <c r="C140" s="112">
        <v>660</v>
      </c>
      <c r="D140" s="137">
        <v>12</v>
      </c>
      <c r="E140" s="112"/>
      <c r="F140" s="110">
        <f t="shared" si="6"/>
        <v>0</v>
      </c>
      <c r="G140" s="112"/>
      <c r="H140" s="111"/>
      <c r="I140" s="111"/>
      <c r="J140" s="111">
        <f t="shared" si="7"/>
        <v>0</v>
      </c>
      <c r="K140" s="113">
        <f t="shared" si="8"/>
        <v>0</v>
      </c>
    </row>
    <row r="141" spans="1:11" s="138" customFormat="1" ht="15.75" customHeight="1" hidden="1" outlineLevel="3">
      <c r="A141" s="136" t="s">
        <v>475</v>
      </c>
      <c r="B141" s="137" t="s">
        <v>389</v>
      </c>
      <c r="C141" s="112">
        <v>640</v>
      </c>
      <c r="D141" s="137">
        <v>12</v>
      </c>
      <c r="E141" s="112"/>
      <c r="F141" s="110">
        <f t="shared" si="6"/>
        <v>0</v>
      </c>
      <c r="G141" s="112"/>
      <c r="H141" s="111"/>
      <c r="I141" s="111"/>
      <c r="J141" s="111">
        <f t="shared" si="7"/>
        <v>0</v>
      </c>
      <c r="K141" s="113">
        <f t="shared" si="8"/>
        <v>0</v>
      </c>
    </row>
    <row r="142" spans="1:11" s="138" customFormat="1" ht="15.75" customHeight="1" hidden="1" outlineLevel="3">
      <c r="A142" s="136" t="s">
        <v>476</v>
      </c>
      <c r="B142" s="137" t="s">
        <v>389</v>
      </c>
      <c r="C142" s="112">
        <v>590</v>
      </c>
      <c r="D142" s="137">
        <v>12</v>
      </c>
      <c r="E142" s="112"/>
      <c r="F142" s="110">
        <f t="shared" si="6"/>
        <v>0</v>
      </c>
      <c r="G142" s="112"/>
      <c r="H142" s="111"/>
      <c r="I142" s="111"/>
      <c r="J142" s="111">
        <f t="shared" si="7"/>
        <v>0</v>
      </c>
      <c r="K142" s="113">
        <f t="shared" si="8"/>
        <v>0</v>
      </c>
    </row>
    <row r="143" spans="1:11" s="138" customFormat="1" ht="15.75" customHeight="1" hidden="1" outlineLevel="3">
      <c r="A143" s="136" t="s">
        <v>477</v>
      </c>
      <c r="B143" s="137" t="s">
        <v>389</v>
      </c>
      <c r="C143" s="112">
        <v>580</v>
      </c>
      <c r="D143" s="137">
        <v>12</v>
      </c>
      <c r="E143" s="112"/>
      <c r="F143" s="110">
        <f t="shared" si="6"/>
        <v>0</v>
      </c>
      <c r="G143" s="112"/>
      <c r="H143" s="111"/>
      <c r="I143" s="111"/>
      <c r="J143" s="111">
        <f t="shared" si="7"/>
        <v>0</v>
      </c>
      <c r="K143" s="113">
        <f t="shared" si="8"/>
        <v>0</v>
      </c>
    </row>
    <row r="144" spans="1:11" s="138" customFormat="1" ht="15.75" customHeight="1" hidden="1" outlineLevel="3">
      <c r="A144" s="136" t="s">
        <v>478</v>
      </c>
      <c r="B144" s="137" t="s">
        <v>389</v>
      </c>
      <c r="C144" s="112">
        <v>560</v>
      </c>
      <c r="D144" s="137">
        <v>12</v>
      </c>
      <c r="E144" s="112"/>
      <c r="F144" s="110">
        <f t="shared" si="6"/>
        <v>0</v>
      </c>
      <c r="G144" s="112"/>
      <c r="H144" s="111"/>
      <c r="I144" s="111"/>
      <c r="J144" s="111">
        <f t="shared" si="7"/>
        <v>0</v>
      </c>
      <c r="K144" s="113">
        <f t="shared" si="8"/>
        <v>0</v>
      </c>
    </row>
    <row r="145" spans="1:11" s="69" customFormat="1" ht="15.75" customHeight="1" hidden="1" outlineLevel="1">
      <c r="A145" s="135" t="s">
        <v>365</v>
      </c>
      <c r="B145" s="68" t="s">
        <v>364</v>
      </c>
      <c r="C145" s="68" t="str">
        <f>E54</f>
        <v>х</v>
      </c>
      <c r="D145" s="139">
        <v>0.5</v>
      </c>
      <c r="E145" s="108">
        <f>H54</f>
        <v>0</v>
      </c>
      <c r="F145" s="68">
        <f>E145/12</f>
        <v>0</v>
      </c>
      <c r="G145" s="107">
        <v>0.5</v>
      </c>
      <c r="H145" s="108">
        <f>E145*G145</f>
        <v>0</v>
      </c>
      <c r="I145" s="108">
        <f>H145/12</f>
        <v>0</v>
      </c>
      <c r="J145" s="108">
        <f t="shared" si="7"/>
        <v>0</v>
      </c>
      <c r="K145" s="109">
        <f t="shared" si="8"/>
        <v>0</v>
      </c>
    </row>
    <row r="146" spans="1:11" s="69" customFormat="1" ht="15.75" customHeight="1" hidden="1" outlineLevel="1">
      <c r="A146" s="135" t="s">
        <v>366</v>
      </c>
      <c r="B146" s="68" t="s">
        <v>364</v>
      </c>
      <c r="C146" s="68" t="s">
        <v>364</v>
      </c>
      <c r="D146" s="139">
        <v>0.12</v>
      </c>
      <c r="E146" s="108">
        <f>H54+H145</f>
        <v>0</v>
      </c>
      <c r="F146" s="68">
        <f>E146/12</f>
        <v>0</v>
      </c>
      <c r="G146" s="107">
        <v>0.12</v>
      </c>
      <c r="H146" s="108">
        <f>E146*G146</f>
        <v>0</v>
      </c>
      <c r="I146" s="108">
        <f>H146/12</f>
        <v>0</v>
      </c>
      <c r="J146" s="108">
        <f t="shared" si="7"/>
        <v>0</v>
      </c>
      <c r="K146" s="109">
        <f t="shared" si="8"/>
        <v>0</v>
      </c>
    </row>
    <row r="147" spans="1:11" s="69" customFormat="1" ht="15.75" customHeight="1" hidden="1" outlineLevel="1">
      <c r="A147" s="135" t="s">
        <v>367</v>
      </c>
      <c r="B147" s="68" t="s">
        <v>364</v>
      </c>
      <c r="C147" s="68" t="s">
        <v>364</v>
      </c>
      <c r="D147" s="139">
        <v>0.342</v>
      </c>
      <c r="E147" s="108">
        <f>H54+H145+H146</f>
        <v>0</v>
      </c>
      <c r="F147" s="68">
        <f>E147/12</f>
        <v>0</v>
      </c>
      <c r="G147" s="107">
        <v>0.342</v>
      </c>
      <c r="H147" s="108">
        <f>E147*G147</f>
        <v>0</v>
      </c>
      <c r="I147" s="108">
        <f>H147/12</f>
        <v>0</v>
      </c>
      <c r="J147" s="108">
        <f t="shared" si="7"/>
        <v>0</v>
      </c>
      <c r="K147" s="109">
        <f t="shared" si="8"/>
        <v>0</v>
      </c>
    </row>
    <row r="148" spans="1:11" s="69" customFormat="1" ht="15.75" customHeight="1" hidden="1" outlineLevel="1" collapsed="1">
      <c r="A148" s="135" t="s">
        <v>369</v>
      </c>
      <c r="B148" s="68" t="s">
        <v>364</v>
      </c>
      <c r="C148" s="124" t="s">
        <v>364</v>
      </c>
      <c r="D148" s="124" t="s">
        <v>364</v>
      </c>
      <c r="E148" s="124" t="s">
        <v>364</v>
      </c>
      <c r="F148" s="125" t="s">
        <v>364</v>
      </c>
      <c r="G148" s="125" t="s">
        <v>364</v>
      </c>
      <c r="H148" s="108">
        <f>SUM(H149:H167)</f>
        <v>0</v>
      </c>
      <c r="I148" s="108">
        <f>H148/12</f>
        <v>0</v>
      </c>
      <c r="J148" s="108">
        <f t="shared" si="7"/>
        <v>0</v>
      </c>
      <c r="K148" s="109">
        <f t="shared" si="8"/>
        <v>0</v>
      </c>
    </row>
    <row r="149" spans="1:11" s="123" customFormat="1" ht="15.75" customHeight="1" hidden="1" outlineLevel="3">
      <c r="A149" s="102" t="s">
        <v>479</v>
      </c>
      <c r="B149" s="129" t="s">
        <v>370</v>
      </c>
      <c r="C149" s="120">
        <f>1/12</f>
        <v>0.08333333333333333</v>
      </c>
      <c r="D149" s="140">
        <v>12</v>
      </c>
      <c r="E149" s="119">
        <v>0</v>
      </c>
      <c r="F149" s="120">
        <f>C149*D149*E149</f>
        <v>0</v>
      </c>
      <c r="G149" s="121">
        <v>500</v>
      </c>
      <c r="H149" s="121">
        <f>F149*G149</f>
        <v>0</v>
      </c>
      <c r="I149" s="121">
        <f>H149/12</f>
        <v>0</v>
      </c>
      <c r="J149" s="121">
        <f t="shared" si="7"/>
        <v>0</v>
      </c>
      <c r="K149" s="122">
        <f t="shared" si="8"/>
        <v>0</v>
      </c>
    </row>
    <row r="150" spans="1:11" s="123" customFormat="1" ht="15.75" customHeight="1" hidden="1" outlineLevel="3">
      <c r="A150" s="102" t="s">
        <v>381</v>
      </c>
      <c r="B150" s="129" t="s">
        <v>370</v>
      </c>
      <c r="C150" s="120">
        <v>1</v>
      </c>
      <c r="D150" s="140">
        <v>12</v>
      </c>
      <c r="E150" s="119">
        <v>0</v>
      </c>
      <c r="F150" s="120">
        <f aca="true" t="shared" si="9" ref="F150:F167">C150*D150*E150</f>
        <v>0</v>
      </c>
      <c r="G150" s="121">
        <v>14</v>
      </c>
      <c r="H150" s="121">
        <f aca="true" t="shared" si="10" ref="H150:H165">F150*G150</f>
        <v>0</v>
      </c>
      <c r="I150" s="121">
        <f aca="true" t="shared" si="11" ref="I150:I167">H150/12</f>
        <v>0</v>
      </c>
      <c r="J150" s="121">
        <f t="shared" si="7"/>
        <v>0</v>
      </c>
      <c r="K150" s="122">
        <f t="shared" si="8"/>
        <v>0</v>
      </c>
    </row>
    <row r="151" spans="1:11" s="123" customFormat="1" ht="15.75" customHeight="1" hidden="1" outlineLevel="3">
      <c r="A151" s="102" t="s">
        <v>480</v>
      </c>
      <c r="B151" s="129" t="s">
        <v>370</v>
      </c>
      <c r="C151" s="120">
        <f>1/12</f>
        <v>0.08333333333333333</v>
      </c>
      <c r="D151" s="140">
        <v>12</v>
      </c>
      <c r="E151" s="119">
        <v>0</v>
      </c>
      <c r="F151" s="120">
        <f t="shared" si="9"/>
        <v>0</v>
      </c>
      <c r="G151" s="121">
        <v>120</v>
      </c>
      <c r="H151" s="121">
        <f t="shared" si="10"/>
        <v>0</v>
      </c>
      <c r="I151" s="121">
        <f t="shared" si="11"/>
        <v>0</v>
      </c>
      <c r="J151" s="121">
        <f t="shared" si="7"/>
        <v>0</v>
      </c>
      <c r="K151" s="122">
        <f t="shared" si="8"/>
        <v>0</v>
      </c>
    </row>
    <row r="152" spans="1:11" s="123" customFormat="1" ht="15.75" customHeight="1" hidden="1" outlineLevel="3">
      <c r="A152" s="102" t="s">
        <v>481</v>
      </c>
      <c r="B152" s="129" t="s">
        <v>370</v>
      </c>
      <c r="C152" s="120">
        <f>1/36</f>
        <v>0.027777777777777776</v>
      </c>
      <c r="D152" s="140">
        <v>12</v>
      </c>
      <c r="E152" s="119">
        <v>0</v>
      </c>
      <c r="F152" s="120">
        <f t="shared" si="9"/>
        <v>0</v>
      </c>
      <c r="G152" s="121">
        <v>1200</v>
      </c>
      <c r="H152" s="121">
        <f t="shared" si="10"/>
        <v>0</v>
      </c>
      <c r="I152" s="121">
        <f t="shared" si="11"/>
        <v>0</v>
      </c>
      <c r="J152" s="121">
        <f t="shared" si="7"/>
        <v>0</v>
      </c>
      <c r="K152" s="122">
        <f t="shared" si="8"/>
        <v>0</v>
      </c>
    </row>
    <row r="153" spans="1:11" s="123" customFormat="1" ht="15.75" customHeight="1" hidden="1" outlineLevel="3">
      <c r="A153" s="102" t="s">
        <v>482</v>
      </c>
      <c r="B153" s="129" t="s">
        <v>370</v>
      </c>
      <c r="C153" s="120">
        <f>1/36</f>
        <v>0.027777777777777776</v>
      </c>
      <c r="D153" s="140">
        <v>12</v>
      </c>
      <c r="E153" s="119">
        <v>0</v>
      </c>
      <c r="F153" s="120">
        <f t="shared" si="9"/>
        <v>0</v>
      </c>
      <c r="G153" s="121">
        <v>1200</v>
      </c>
      <c r="H153" s="121">
        <f t="shared" si="10"/>
        <v>0</v>
      </c>
      <c r="I153" s="121">
        <f t="shared" si="11"/>
        <v>0</v>
      </c>
      <c r="J153" s="121">
        <f t="shared" si="7"/>
        <v>0</v>
      </c>
      <c r="K153" s="122">
        <f t="shared" si="8"/>
        <v>0</v>
      </c>
    </row>
    <row r="154" spans="1:11" s="123" customFormat="1" ht="15.75" customHeight="1" hidden="1" outlineLevel="3">
      <c r="A154" s="102" t="s">
        <v>371</v>
      </c>
      <c r="B154" s="129" t="s">
        <v>370</v>
      </c>
      <c r="C154" s="120">
        <f>1/36</f>
        <v>0.027777777777777776</v>
      </c>
      <c r="D154" s="140">
        <v>12</v>
      </c>
      <c r="E154" s="119">
        <v>0</v>
      </c>
      <c r="F154" s="120">
        <f t="shared" si="9"/>
        <v>0</v>
      </c>
      <c r="G154" s="121">
        <v>600</v>
      </c>
      <c r="H154" s="121">
        <f t="shared" si="10"/>
        <v>0</v>
      </c>
      <c r="I154" s="121">
        <f t="shared" si="11"/>
        <v>0</v>
      </c>
      <c r="J154" s="121">
        <f t="shared" si="7"/>
        <v>0</v>
      </c>
      <c r="K154" s="122">
        <f t="shared" si="8"/>
        <v>0</v>
      </c>
    </row>
    <row r="155" spans="1:11" s="123" customFormat="1" ht="15.75" customHeight="1" hidden="1" outlineLevel="3">
      <c r="A155" s="102" t="s">
        <v>373</v>
      </c>
      <c r="B155" s="129" t="s">
        <v>370</v>
      </c>
      <c r="C155" s="120">
        <v>0.027777777777777776</v>
      </c>
      <c r="D155" s="140">
        <v>12</v>
      </c>
      <c r="E155" s="119">
        <v>0</v>
      </c>
      <c r="F155" s="120">
        <f t="shared" si="9"/>
        <v>0</v>
      </c>
      <c r="G155" s="121">
        <v>100</v>
      </c>
      <c r="H155" s="121">
        <f t="shared" si="10"/>
        <v>0</v>
      </c>
      <c r="I155" s="121">
        <f t="shared" si="11"/>
        <v>0</v>
      </c>
      <c r="J155" s="121">
        <f t="shared" si="7"/>
        <v>0</v>
      </c>
      <c r="K155" s="122">
        <f t="shared" si="8"/>
        <v>0</v>
      </c>
    </row>
    <row r="156" spans="1:11" s="123" customFormat="1" ht="15.75" customHeight="1" hidden="1" outlineLevel="3">
      <c r="A156" s="102" t="s">
        <v>483</v>
      </c>
      <c r="B156" s="129" t="s">
        <v>370</v>
      </c>
      <c r="C156" s="120">
        <f>1/36</f>
        <v>0.027777777777777776</v>
      </c>
      <c r="D156" s="140">
        <v>12</v>
      </c>
      <c r="E156" s="119">
        <v>0</v>
      </c>
      <c r="F156" s="120">
        <f t="shared" si="9"/>
        <v>0</v>
      </c>
      <c r="G156" s="121">
        <v>1200</v>
      </c>
      <c r="H156" s="121">
        <f t="shared" si="10"/>
        <v>0</v>
      </c>
      <c r="I156" s="121">
        <f t="shared" si="11"/>
        <v>0</v>
      </c>
      <c r="J156" s="121">
        <f t="shared" si="7"/>
        <v>0</v>
      </c>
      <c r="K156" s="122">
        <f t="shared" si="8"/>
        <v>0</v>
      </c>
    </row>
    <row r="157" spans="1:11" s="123" customFormat="1" ht="15.75" customHeight="1" hidden="1" outlineLevel="3">
      <c r="A157" s="102" t="s">
        <v>484</v>
      </c>
      <c r="B157" s="129" t="s">
        <v>370</v>
      </c>
      <c r="C157" s="120">
        <f>1/12</f>
        <v>0.08333333333333333</v>
      </c>
      <c r="D157" s="140">
        <v>12</v>
      </c>
      <c r="E157" s="119">
        <v>0</v>
      </c>
      <c r="F157" s="120">
        <f t="shared" si="9"/>
        <v>0</v>
      </c>
      <c r="G157" s="121">
        <v>100</v>
      </c>
      <c r="H157" s="121">
        <f t="shared" si="10"/>
        <v>0</v>
      </c>
      <c r="I157" s="121">
        <f t="shared" si="11"/>
        <v>0</v>
      </c>
      <c r="J157" s="121">
        <f t="shared" si="7"/>
        <v>0</v>
      </c>
      <c r="K157" s="122">
        <f t="shared" si="8"/>
        <v>0</v>
      </c>
    </row>
    <row r="158" spans="1:11" s="123" customFormat="1" ht="15.75" customHeight="1" hidden="1" outlineLevel="3">
      <c r="A158" s="102" t="s">
        <v>485</v>
      </c>
      <c r="B158" s="129" t="s">
        <v>370</v>
      </c>
      <c r="C158" s="120">
        <v>0.08333333333333333</v>
      </c>
      <c r="D158" s="140">
        <v>12</v>
      </c>
      <c r="E158" s="119">
        <v>0</v>
      </c>
      <c r="F158" s="120">
        <f t="shared" si="9"/>
        <v>0</v>
      </c>
      <c r="G158" s="121">
        <v>100</v>
      </c>
      <c r="H158" s="121">
        <f t="shared" si="10"/>
        <v>0</v>
      </c>
      <c r="I158" s="121">
        <f t="shared" si="11"/>
        <v>0</v>
      </c>
      <c r="J158" s="121">
        <f t="shared" si="7"/>
        <v>0</v>
      </c>
      <c r="K158" s="122">
        <f t="shared" si="8"/>
        <v>0</v>
      </c>
    </row>
    <row r="159" spans="1:11" s="123" customFormat="1" ht="15.75" customHeight="1" hidden="1" outlineLevel="3">
      <c r="A159" s="102" t="s">
        <v>382</v>
      </c>
      <c r="B159" s="129" t="s">
        <v>370</v>
      </c>
      <c r="C159" s="120">
        <f>1/36</f>
        <v>0.027777777777777776</v>
      </c>
      <c r="D159" s="140">
        <v>12</v>
      </c>
      <c r="E159" s="119">
        <v>0</v>
      </c>
      <c r="F159" s="120">
        <f t="shared" si="9"/>
        <v>0</v>
      </c>
      <c r="G159" s="121">
        <v>1200</v>
      </c>
      <c r="H159" s="121">
        <f t="shared" si="10"/>
        <v>0</v>
      </c>
      <c r="I159" s="121">
        <f t="shared" si="11"/>
        <v>0</v>
      </c>
      <c r="J159" s="121">
        <f t="shared" si="7"/>
        <v>0</v>
      </c>
      <c r="K159" s="122">
        <f t="shared" si="8"/>
        <v>0</v>
      </c>
    </row>
    <row r="160" spans="1:11" s="123" customFormat="1" ht="15.75" customHeight="1" hidden="1" outlineLevel="3">
      <c r="A160" s="102" t="s">
        <v>372</v>
      </c>
      <c r="B160" s="129" t="s">
        <v>370</v>
      </c>
      <c r="C160" s="120">
        <v>1</v>
      </c>
      <c r="D160" s="140">
        <v>12</v>
      </c>
      <c r="E160" s="119">
        <v>0</v>
      </c>
      <c r="F160" s="120">
        <f t="shared" si="9"/>
        <v>0</v>
      </c>
      <c r="G160" s="121">
        <v>34</v>
      </c>
      <c r="H160" s="121">
        <f t="shared" si="10"/>
        <v>0</v>
      </c>
      <c r="I160" s="121">
        <f t="shared" si="11"/>
        <v>0</v>
      </c>
      <c r="J160" s="121">
        <f t="shared" si="7"/>
        <v>0</v>
      </c>
      <c r="K160" s="122">
        <f t="shared" si="8"/>
        <v>0</v>
      </c>
    </row>
    <row r="161" spans="1:11" s="123" customFormat="1" ht="15.75" customHeight="1" hidden="1" outlineLevel="3">
      <c r="A161" s="102" t="s">
        <v>376</v>
      </c>
      <c r="B161" s="129" t="s">
        <v>370</v>
      </c>
      <c r="C161" s="120">
        <f>1/12</f>
        <v>0.08333333333333333</v>
      </c>
      <c r="D161" s="140">
        <v>12</v>
      </c>
      <c r="E161" s="119">
        <v>0</v>
      </c>
      <c r="F161" s="120">
        <f>C161*D161*E161</f>
        <v>0</v>
      </c>
      <c r="G161" s="121">
        <v>120</v>
      </c>
      <c r="H161" s="121">
        <f t="shared" si="10"/>
        <v>0</v>
      </c>
      <c r="I161" s="121">
        <f t="shared" si="11"/>
        <v>0</v>
      </c>
      <c r="J161" s="121">
        <f t="shared" si="7"/>
        <v>0</v>
      </c>
      <c r="K161" s="122">
        <f t="shared" si="8"/>
        <v>0</v>
      </c>
    </row>
    <row r="162" spans="1:11" s="123" customFormat="1" ht="15.75" customHeight="1" hidden="1" outlineLevel="3">
      <c r="A162" s="102" t="s">
        <v>374</v>
      </c>
      <c r="B162" s="129" t="s">
        <v>370</v>
      </c>
      <c r="C162" s="120">
        <f>4/12</f>
        <v>0.3333333333333333</v>
      </c>
      <c r="D162" s="140">
        <v>12</v>
      </c>
      <c r="E162" s="119">
        <v>0</v>
      </c>
      <c r="F162" s="120">
        <f t="shared" si="9"/>
        <v>0</v>
      </c>
      <c r="G162" s="121">
        <v>70</v>
      </c>
      <c r="H162" s="121">
        <f t="shared" si="10"/>
        <v>0</v>
      </c>
      <c r="I162" s="121">
        <f t="shared" si="11"/>
        <v>0</v>
      </c>
      <c r="J162" s="121">
        <f t="shared" si="7"/>
        <v>0</v>
      </c>
      <c r="K162" s="122">
        <f t="shared" si="8"/>
        <v>0</v>
      </c>
    </row>
    <row r="163" spans="1:11" s="123" customFormat="1" ht="15.75" customHeight="1" hidden="1" outlineLevel="3">
      <c r="A163" s="102" t="s">
        <v>383</v>
      </c>
      <c r="B163" s="129" t="s">
        <v>370</v>
      </c>
      <c r="C163" s="120">
        <f>1/12</f>
        <v>0.08333333333333333</v>
      </c>
      <c r="D163" s="140">
        <v>12</v>
      </c>
      <c r="E163" s="119">
        <v>0</v>
      </c>
      <c r="F163" s="120">
        <f t="shared" si="9"/>
        <v>0</v>
      </c>
      <c r="G163" s="121">
        <v>100</v>
      </c>
      <c r="H163" s="121">
        <f t="shared" si="10"/>
        <v>0</v>
      </c>
      <c r="I163" s="121">
        <f t="shared" si="11"/>
        <v>0</v>
      </c>
      <c r="J163" s="121">
        <f t="shared" si="7"/>
        <v>0</v>
      </c>
      <c r="K163" s="122">
        <f t="shared" si="8"/>
        <v>0</v>
      </c>
    </row>
    <row r="164" spans="1:11" s="123" customFormat="1" ht="15.75" customHeight="1" hidden="1" outlineLevel="3">
      <c r="A164" s="102" t="s">
        <v>375</v>
      </c>
      <c r="B164" s="129" t="s">
        <v>370</v>
      </c>
      <c r="C164" s="120">
        <f>1/12</f>
        <v>0.08333333333333333</v>
      </c>
      <c r="D164" s="140">
        <v>12</v>
      </c>
      <c r="E164" s="119">
        <v>0</v>
      </c>
      <c r="F164" s="120">
        <f t="shared" si="9"/>
        <v>0</v>
      </c>
      <c r="G164" s="121">
        <v>120</v>
      </c>
      <c r="H164" s="121">
        <f t="shared" si="10"/>
        <v>0</v>
      </c>
      <c r="I164" s="121">
        <f t="shared" si="11"/>
        <v>0</v>
      </c>
      <c r="J164" s="121">
        <f t="shared" si="7"/>
        <v>0</v>
      </c>
      <c r="K164" s="122">
        <f t="shared" si="8"/>
        <v>0</v>
      </c>
    </row>
    <row r="165" spans="1:11" s="123" customFormat="1" ht="15.75" customHeight="1" hidden="1" outlineLevel="3">
      <c r="A165" s="102" t="s">
        <v>486</v>
      </c>
      <c r="B165" s="129" t="s">
        <v>370</v>
      </c>
      <c r="C165" s="120">
        <f>1/12</f>
        <v>0.08333333333333333</v>
      </c>
      <c r="D165" s="140">
        <v>12</v>
      </c>
      <c r="E165" s="119">
        <v>0</v>
      </c>
      <c r="F165" s="120">
        <f t="shared" si="9"/>
        <v>0</v>
      </c>
      <c r="G165" s="121">
        <v>70</v>
      </c>
      <c r="H165" s="121">
        <f t="shared" si="10"/>
        <v>0</v>
      </c>
      <c r="I165" s="121">
        <f t="shared" si="11"/>
        <v>0</v>
      </c>
      <c r="J165" s="121">
        <f t="shared" si="7"/>
        <v>0</v>
      </c>
      <c r="K165" s="122">
        <f t="shared" si="8"/>
        <v>0</v>
      </c>
    </row>
    <row r="166" spans="1:11" s="103" customFormat="1" ht="15.75" customHeight="1" hidden="1" outlineLevel="3">
      <c r="A166" s="104" t="s">
        <v>377</v>
      </c>
      <c r="B166" s="129" t="s">
        <v>370</v>
      </c>
      <c r="C166" s="130">
        <f>2</f>
        <v>2</v>
      </c>
      <c r="D166" s="129">
        <v>12</v>
      </c>
      <c r="E166" s="119">
        <v>0</v>
      </c>
      <c r="F166" s="131">
        <f t="shared" si="9"/>
        <v>0</v>
      </c>
      <c r="G166" s="133">
        <v>10</v>
      </c>
      <c r="H166" s="132">
        <f>F166*G166</f>
        <v>0</v>
      </c>
      <c r="I166" s="121">
        <f t="shared" si="11"/>
        <v>0</v>
      </c>
      <c r="J166" s="121">
        <f t="shared" si="7"/>
        <v>0</v>
      </c>
      <c r="K166" s="122">
        <f t="shared" si="8"/>
        <v>0</v>
      </c>
    </row>
    <row r="167" spans="1:11" s="103" customFormat="1" ht="15.75" customHeight="1" hidden="1" outlineLevel="3">
      <c r="A167" s="104" t="s">
        <v>378</v>
      </c>
      <c r="B167" s="129" t="s">
        <v>370</v>
      </c>
      <c r="C167" s="130">
        <v>0.5</v>
      </c>
      <c r="D167" s="129">
        <v>12</v>
      </c>
      <c r="E167" s="119">
        <v>0</v>
      </c>
      <c r="F167" s="131">
        <f t="shared" si="9"/>
        <v>0</v>
      </c>
      <c r="G167" s="133">
        <v>18.2</v>
      </c>
      <c r="H167" s="132">
        <f>F167*G167</f>
        <v>0</v>
      </c>
      <c r="I167" s="121">
        <f t="shared" si="11"/>
        <v>0</v>
      </c>
      <c r="J167" s="121">
        <f t="shared" si="7"/>
        <v>0</v>
      </c>
      <c r="K167" s="122">
        <f t="shared" si="8"/>
        <v>0</v>
      </c>
    </row>
    <row r="168" spans="1:11" s="69" customFormat="1" ht="15.75" customHeight="1" hidden="1" outlineLevel="1" collapsed="1">
      <c r="A168" s="135" t="s">
        <v>60</v>
      </c>
      <c r="B168" s="68" t="s">
        <v>364</v>
      </c>
      <c r="C168" s="124" t="s">
        <v>364</v>
      </c>
      <c r="D168" s="124" t="s">
        <v>364</v>
      </c>
      <c r="E168" s="124" t="s">
        <v>364</v>
      </c>
      <c r="F168" s="125" t="s">
        <v>364</v>
      </c>
      <c r="G168" s="125" t="s">
        <v>364</v>
      </c>
      <c r="H168" s="108">
        <f>SUM(H169:H175)</f>
        <v>0</v>
      </c>
      <c r="I168" s="108">
        <f>H168/12</f>
        <v>0</v>
      </c>
      <c r="J168" s="108">
        <f t="shared" si="7"/>
        <v>0</v>
      </c>
      <c r="K168" s="109">
        <f t="shared" si="8"/>
        <v>0</v>
      </c>
    </row>
    <row r="169" spans="1:11" s="123" customFormat="1" ht="15.75" customHeight="1" hidden="1" outlineLevel="3">
      <c r="A169" s="102" t="s">
        <v>487</v>
      </c>
      <c r="B169" s="120" t="s">
        <v>488</v>
      </c>
      <c r="C169" s="141">
        <v>6</v>
      </c>
      <c r="D169" s="140">
        <v>12</v>
      </c>
      <c r="E169" s="119">
        <v>0</v>
      </c>
      <c r="F169" s="120">
        <f>C169*D169*E169</f>
        <v>0</v>
      </c>
      <c r="G169" s="121">
        <v>25</v>
      </c>
      <c r="H169" s="121">
        <f>F169*G169</f>
        <v>0</v>
      </c>
      <c r="I169" s="121">
        <f>H169/12</f>
        <v>0</v>
      </c>
      <c r="J169" s="121">
        <f t="shared" si="7"/>
        <v>0</v>
      </c>
      <c r="K169" s="122">
        <f t="shared" si="8"/>
        <v>0</v>
      </c>
    </row>
    <row r="170" spans="1:11" s="123" customFormat="1" ht="15.75" customHeight="1" hidden="1" outlineLevel="3">
      <c r="A170" s="102" t="s">
        <v>489</v>
      </c>
      <c r="B170" s="120" t="s">
        <v>368</v>
      </c>
      <c r="C170" s="141">
        <v>0.02</v>
      </c>
      <c r="D170" s="140">
        <v>12</v>
      </c>
      <c r="E170" s="119">
        <v>0</v>
      </c>
      <c r="F170" s="120">
        <f aca="true" t="shared" si="12" ref="F170:F175">C170*D170*E170</f>
        <v>0</v>
      </c>
      <c r="G170" s="121">
        <v>70</v>
      </c>
      <c r="H170" s="121">
        <f aca="true" t="shared" si="13" ref="H170:H175">F170*G170</f>
        <v>0</v>
      </c>
      <c r="I170" s="121">
        <f aca="true" t="shared" si="14" ref="I170:I175">H170/12</f>
        <v>0</v>
      </c>
      <c r="J170" s="121">
        <f t="shared" si="7"/>
        <v>0</v>
      </c>
      <c r="K170" s="122">
        <f t="shared" si="8"/>
        <v>0</v>
      </c>
    </row>
    <row r="171" spans="1:11" s="123" customFormat="1" ht="15.75" customHeight="1" hidden="1" outlineLevel="3">
      <c r="A171" s="102" t="s">
        <v>490</v>
      </c>
      <c r="B171" s="120" t="s">
        <v>491</v>
      </c>
      <c r="C171" s="141">
        <v>0.015</v>
      </c>
      <c r="D171" s="140">
        <v>183</v>
      </c>
      <c r="E171" s="119">
        <v>0</v>
      </c>
      <c r="F171" s="120">
        <f t="shared" si="12"/>
        <v>0</v>
      </c>
      <c r="G171" s="121">
        <v>70</v>
      </c>
      <c r="H171" s="121">
        <f t="shared" si="13"/>
        <v>0</v>
      </c>
      <c r="I171" s="121">
        <f t="shared" si="14"/>
        <v>0</v>
      </c>
      <c r="J171" s="121">
        <f t="shared" si="7"/>
        <v>0</v>
      </c>
      <c r="K171" s="122">
        <f t="shared" si="8"/>
        <v>0</v>
      </c>
    </row>
    <row r="172" spans="1:11" s="123" customFormat="1" ht="15.75" customHeight="1" hidden="1" outlineLevel="3">
      <c r="A172" s="102" t="s">
        <v>492</v>
      </c>
      <c r="B172" s="120" t="s">
        <v>491</v>
      </c>
      <c r="C172" s="141">
        <v>0.02</v>
      </c>
      <c r="D172" s="140">
        <v>52</v>
      </c>
      <c r="E172" s="119">
        <v>0</v>
      </c>
      <c r="F172" s="120">
        <f t="shared" si="12"/>
        <v>0</v>
      </c>
      <c r="G172" s="121">
        <v>70</v>
      </c>
      <c r="H172" s="121">
        <f t="shared" si="13"/>
        <v>0</v>
      </c>
      <c r="I172" s="121">
        <f t="shared" si="14"/>
        <v>0</v>
      </c>
      <c r="J172" s="121">
        <f t="shared" si="7"/>
        <v>0</v>
      </c>
      <c r="K172" s="122">
        <f t="shared" si="8"/>
        <v>0</v>
      </c>
    </row>
    <row r="173" spans="1:11" s="123" customFormat="1" ht="15.75" customHeight="1" hidden="1" outlineLevel="3">
      <c r="A173" s="102" t="s">
        <v>493</v>
      </c>
      <c r="B173" s="120" t="s">
        <v>494</v>
      </c>
      <c r="C173" s="141">
        <f>1.5/100</f>
        <v>0.015</v>
      </c>
      <c r="D173" s="140">
        <v>12</v>
      </c>
      <c r="E173" s="119">
        <v>0</v>
      </c>
      <c r="F173" s="120">
        <f t="shared" si="12"/>
        <v>0</v>
      </c>
      <c r="G173" s="121">
        <v>70</v>
      </c>
      <c r="H173" s="121">
        <f t="shared" si="13"/>
        <v>0</v>
      </c>
      <c r="I173" s="121">
        <f t="shared" si="14"/>
        <v>0</v>
      </c>
      <c r="J173" s="121">
        <f t="shared" si="7"/>
        <v>0</v>
      </c>
      <c r="K173" s="122">
        <f t="shared" si="8"/>
        <v>0</v>
      </c>
    </row>
    <row r="174" spans="1:11" s="123" customFormat="1" ht="15.75" customHeight="1" hidden="1" outlineLevel="3">
      <c r="A174" s="102" t="s">
        <v>495</v>
      </c>
      <c r="B174" s="120" t="s">
        <v>494</v>
      </c>
      <c r="C174" s="141">
        <f>5.38/100</f>
        <v>0.0538</v>
      </c>
      <c r="D174" s="140">
        <v>12</v>
      </c>
      <c r="E174" s="119">
        <v>0</v>
      </c>
      <c r="F174" s="120">
        <f t="shared" si="12"/>
        <v>0</v>
      </c>
      <c r="G174" s="121">
        <v>30</v>
      </c>
      <c r="H174" s="121">
        <f t="shared" si="13"/>
        <v>0</v>
      </c>
      <c r="I174" s="121">
        <f t="shared" si="14"/>
        <v>0</v>
      </c>
      <c r="J174" s="121">
        <f t="shared" si="7"/>
        <v>0</v>
      </c>
      <c r="K174" s="122">
        <f t="shared" si="8"/>
        <v>0</v>
      </c>
    </row>
    <row r="175" spans="1:11" s="123" customFormat="1" ht="15.75" customHeight="1" hidden="1" outlineLevel="3">
      <c r="A175" s="102" t="s">
        <v>496</v>
      </c>
      <c r="B175" s="120" t="s">
        <v>497</v>
      </c>
      <c r="C175" s="141">
        <f>1/60</f>
        <v>0.016666666666666666</v>
      </c>
      <c r="D175" s="140">
        <v>12</v>
      </c>
      <c r="E175" s="119">
        <v>0</v>
      </c>
      <c r="F175" s="120">
        <f t="shared" si="12"/>
        <v>0</v>
      </c>
      <c r="G175" s="121">
        <v>7800</v>
      </c>
      <c r="H175" s="121">
        <f t="shared" si="13"/>
        <v>0</v>
      </c>
      <c r="I175" s="121">
        <f t="shared" si="14"/>
        <v>0</v>
      </c>
      <c r="J175" s="121">
        <f t="shared" si="7"/>
        <v>0</v>
      </c>
      <c r="K175" s="122">
        <f t="shared" si="8"/>
        <v>0</v>
      </c>
    </row>
    <row r="176" spans="1:11" s="69" customFormat="1" ht="15.75" customHeight="1" hidden="1" outlineLevel="1">
      <c r="A176" s="142" t="s">
        <v>498</v>
      </c>
      <c r="B176" s="115" t="s">
        <v>364</v>
      </c>
      <c r="C176" s="115" t="s">
        <v>364</v>
      </c>
      <c r="D176" s="143" t="s">
        <v>364</v>
      </c>
      <c r="E176" s="116" t="s">
        <v>364</v>
      </c>
      <c r="F176" s="115" t="s">
        <v>364</v>
      </c>
      <c r="G176" s="144" t="s">
        <v>364</v>
      </c>
      <c r="H176" s="116">
        <v>0</v>
      </c>
      <c r="I176" s="116">
        <f>H176/12</f>
        <v>0</v>
      </c>
      <c r="J176" s="116">
        <f t="shared" si="7"/>
        <v>0</v>
      </c>
      <c r="K176" s="117">
        <f t="shared" si="8"/>
        <v>0</v>
      </c>
    </row>
    <row r="177" spans="1:11" ht="31.5" collapsed="1" thickBot="1">
      <c r="A177" s="92" t="s">
        <v>289</v>
      </c>
      <c r="B177" s="93" t="s">
        <v>359</v>
      </c>
      <c r="C177" s="93" t="s">
        <v>360</v>
      </c>
      <c r="D177" s="93" t="s">
        <v>361</v>
      </c>
      <c r="E177" s="93" t="s">
        <v>329</v>
      </c>
      <c r="F177" s="93" t="s">
        <v>362</v>
      </c>
      <c r="G177" s="94" t="s">
        <v>363</v>
      </c>
      <c r="H177" s="95">
        <v>12405.68</v>
      </c>
      <c r="I177" s="95">
        <f>H177/12</f>
        <v>1033.8066666666666</v>
      </c>
      <c r="J177" s="95">
        <f t="shared" si="7"/>
        <v>0.1813664087764542</v>
      </c>
      <c r="K177" s="96">
        <f t="shared" si="8"/>
        <v>0.1813664087764542</v>
      </c>
    </row>
    <row r="178" spans="1:11" s="69" customFormat="1" ht="31.5" thickBot="1">
      <c r="A178" s="92" t="s">
        <v>301</v>
      </c>
      <c r="B178" s="93" t="s">
        <v>359</v>
      </c>
      <c r="C178" s="93" t="s">
        <v>360</v>
      </c>
      <c r="D178" s="93" t="s">
        <v>361</v>
      </c>
      <c r="E178" s="93" t="s">
        <v>329</v>
      </c>
      <c r="F178" s="93" t="s">
        <v>362</v>
      </c>
      <c r="G178" s="94" t="s">
        <v>363</v>
      </c>
      <c r="H178" s="95">
        <v>195203.76</v>
      </c>
      <c r="I178" s="95">
        <f aca="true" t="shared" si="15" ref="I178:I194">H178/12</f>
        <v>16266.980000000001</v>
      </c>
      <c r="J178" s="95">
        <f>H178*$J$46/12/5115.6</f>
        <v>2.8538060735776565</v>
      </c>
      <c r="K178" s="96">
        <f t="shared" si="8"/>
        <v>2.8538060735776565</v>
      </c>
    </row>
    <row r="179" spans="1:11" s="69" customFormat="1" ht="31.5" thickBot="1">
      <c r="A179" s="183" t="s">
        <v>286</v>
      </c>
      <c r="B179" s="184"/>
      <c r="C179" s="184"/>
      <c r="D179" s="184" t="s">
        <v>361</v>
      </c>
      <c r="E179" s="184" t="s">
        <v>329</v>
      </c>
      <c r="F179" s="184" t="s">
        <v>362</v>
      </c>
      <c r="G179" s="185" t="s">
        <v>363</v>
      </c>
      <c r="H179" s="186">
        <f>SUM(H180:H193)</f>
        <v>252863.21520000004</v>
      </c>
      <c r="I179" s="186">
        <f t="shared" si="15"/>
        <v>21071.934600000004</v>
      </c>
      <c r="J179" s="186">
        <f>SUM(J180:J191)</f>
        <v>4.0680902461001205</v>
      </c>
      <c r="K179" s="187">
        <f>SUM(K180:K191)</f>
        <v>0.5444193961509448</v>
      </c>
    </row>
    <row r="180" spans="1:11" s="69" customFormat="1" ht="15.75" customHeight="1">
      <c r="A180" s="98" t="s">
        <v>276</v>
      </c>
      <c r="B180" s="188" t="s">
        <v>364</v>
      </c>
      <c r="C180" s="188" t="s">
        <v>364</v>
      </c>
      <c r="D180" s="201">
        <v>12</v>
      </c>
      <c r="E180" s="188">
        <v>5700.1</v>
      </c>
      <c r="F180" s="188">
        <f>D180*E180</f>
        <v>68401.20000000001</v>
      </c>
      <c r="G180" s="199">
        <v>0.44</v>
      </c>
      <c r="H180" s="189">
        <f>F180*G180</f>
        <v>30096.528000000006</v>
      </c>
      <c r="I180" s="189">
        <f t="shared" si="15"/>
        <v>2508.0440000000003</v>
      </c>
      <c r="J180" s="189">
        <f>H180*$J$46/12/5115.6+0.01</f>
        <v>0.45000000000000007</v>
      </c>
      <c r="K180" s="190">
        <f>H180*$K$46/12/579.9+0.01</f>
        <v>0.45000000000000007</v>
      </c>
    </row>
    <row r="181" spans="1:11" s="69" customFormat="1" ht="15.75" customHeight="1" hidden="1">
      <c r="A181" s="106" t="s">
        <v>277</v>
      </c>
      <c r="B181" s="74" t="s">
        <v>364</v>
      </c>
      <c r="C181" s="74" t="s">
        <v>364</v>
      </c>
      <c r="D181" s="75">
        <v>12</v>
      </c>
      <c r="E181" s="74">
        <f>E13</f>
        <v>2070</v>
      </c>
      <c r="F181" s="74">
        <f>D181*E181</f>
        <v>24840</v>
      </c>
      <c r="G181" s="195">
        <v>0</v>
      </c>
      <c r="H181" s="71">
        <f aca="true" t="shared" si="16" ref="H181:H193">F181*G181</f>
        <v>0</v>
      </c>
      <c r="I181" s="71">
        <f t="shared" si="15"/>
        <v>0</v>
      </c>
      <c r="J181" s="71">
        <f t="shared" si="7"/>
        <v>0</v>
      </c>
      <c r="K181" s="191">
        <f t="shared" si="8"/>
        <v>0</v>
      </c>
    </row>
    <row r="182" spans="1:11" s="69" customFormat="1" ht="15.75" customHeight="1">
      <c r="A182" s="106" t="s">
        <v>278</v>
      </c>
      <c r="B182" s="74" t="s">
        <v>364</v>
      </c>
      <c r="C182" s="74" t="s">
        <v>364</v>
      </c>
      <c r="D182" s="75">
        <v>1</v>
      </c>
      <c r="E182" s="74">
        <f>E13</f>
        <v>2070</v>
      </c>
      <c r="F182" s="74">
        <f>D182*E182</f>
        <v>2070</v>
      </c>
      <c r="G182" s="195">
        <v>3.12</v>
      </c>
      <c r="H182" s="71">
        <f>F182*G182</f>
        <v>6458.400000000001</v>
      </c>
      <c r="I182" s="71">
        <f t="shared" si="15"/>
        <v>538.2</v>
      </c>
      <c r="J182" s="71">
        <f t="shared" si="7"/>
        <v>0.09441939615094473</v>
      </c>
      <c r="K182" s="191">
        <f t="shared" si="8"/>
        <v>0.09441939615094472</v>
      </c>
    </row>
    <row r="183" spans="1:11" s="69" customFormat="1" ht="15.75" customHeight="1" hidden="1">
      <c r="A183" s="106" t="s">
        <v>285</v>
      </c>
      <c r="B183" s="74" t="s">
        <v>364</v>
      </c>
      <c r="C183" s="74" t="s">
        <v>364</v>
      </c>
      <c r="D183" s="75">
        <v>12</v>
      </c>
      <c r="E183" s="74">
        <f>E12</f>
        <v>114</v>
      </c>
      <c r="F183" s="74">
        <v>0</v>
      </c>
      <c r="G183" s="195">
        <v>25</v>
      </c>
      <c r="H183" s="71">
        <f t="shared" si="16"/>
        <v>0</v>
      </c>
      <c r="I183" s="71">
        <f t="shared" si="15"/>
        <v>0</v>
      </c>
      <c r="J183" s="71">
        <f t="shared" si="7"/>
        <v>0</v>
      </c>
      <c r="K183" s="191">
        <f t="shared" si="8"/>
        <v>0</v>
      </c>
    </row>
    <row r="184" spans="1:11" s="69" customFormat="1" ht="15.75" customHeight="1">
      <c r="A184" s="106" t="s">
        <v>290</v>
      </c>
      <c r="B184" s="74" t="s">
        <v>364</v>
      </c>
      <c r="C184" s="74" t="s">
        <v>364</v>
      </c>
      <c r="D184" s="75">
        <v>12</v>
      </c>
      <c r="E184" s="74">
        <v>38.13</v>
      </c>
      <c r="F184" s="74">
        <f>D184*E184</f>
        <v>457.56000000000006</v>
      </c>
      <c r="G184" s="195">
        <v>265.62</v>
      </c>
      <c r="H184" s="71">
        <f t="shared" si="16"/>
        <v>121537.08720000002</v>
      </c>
      <c r="I184" s="71">
        <f t="shared" si="15"/>
        <v>10128.090600000001</v>
      </c>
      <c r="J184" s="71">
        <f>H184/12/5115.6</f>
        <v>1.9798441238564393</v>
      </c>
      <c r="K184" s="191">
        <v>0</v>
      </c>
    </row>
    <row r="185" spans="1:11" s="69" customFormat="1" ht="15.75" customHeight="1" hidden="1">
      <c r="A185" s="106" t="s">
        <v>291</v>
      </c>
      <c r="B185" s="74" t="s">
        <v>364</v>
      </c>
      <c r="C185" s="74" t="s">
        <v>364</v>
      </c>
      <c r="D185" s="75">
        <v>12</v>
      </c>
      <c r="E185" s="74">
        <v>0</v>
      </c>
      <c r="F185" s="74">
        <f aca="true" t="shared" si="17" ref="F185:F193">D185*E185</f>
        <v>0</v>
      </c>
      <c r="G185" s="195">
        <f>216.11*1.18</f>
        <v>255.0098</v>
      </c>
      <c r="H185" s="71">
        <f t="shared" si="16"/>
        <v>0</v>
      </c>
      <c r="I185" s="71">
        <f t="shared" si="15"/>
        <v>0</v>
      </c>
      <c r="J185" s="71">
        <f aca="true" t="shared" si="18" ref="J185:J193">H185*$J$46/12/5115.6</f>
        <v>0</v>
      </c>
      <c r="K185" s="191">
        <f aca="true" t="shared" si="19" ref="K185:K193">H185*$K$46/12/579.9</f>
        <v>0</v>
      </c>
    </row>
    <row r="186" spans="1:11" s="69" customFormat="1" ht="15.75" customHeight="1">
      <c r="A186" s="106" t="s">
        <v>297</v>
      </c>
      <c r="B186" s="74" t="s">
        <v>364</v>
      </c>
      <c r="C186" s="74" t="s">
        <v>364</v>
      </c>
      <c r="D186" s="75">
        <v>1</v>
      </c>
      <c r="E186" s="74">
        <f>E32</f>
        <v>228</v>
      </c>
      <c r="F186" s="74">
        <f>E186*D186</f>
        <v>228</v>
      </c>
      <c r="G186" s="195">
        <v>11</v>
      </c>
      <c r="H186" s="71">
        <f>F186*G186</f>
        <v>2508</v>
      </c>
      <c r="I186" s="71">
        <f t="shared" si="15"/>
        <v>209</v>
      </c>
      <c r="J186" s="71">
        <f>H186/12/5115.6</f>
        <v>0.04085542262882164</v>
      </c>
      <c r="K186" s="191">
        <v>0</v>
      </c>
    </row>
    <row r="187" spans="1:11" s="69" customFormat="1" ht="15.75" customHeight="1" hidden="1">
      <c r="A187" s="106" t="s">
        <v>298</v>
      </c>
      <c r="B187" s="74" t="s">
        <v>364</v>
      </c>
      <c r="C187" s="74" t="s">
        <v>364</v>
      </c>
      <c r="D187" s="75">
        <v>4</v>
      </c>
      <c r="E187" s="74">
        <f>E33</f>
        <v>0</v>
      </c>
      <c r="F187" s="74">
        <f>E187*D187</f>
        <v>0</v>
      </c>
      <c r="G187" s="195">
        <v>19</v>
      </c>
      <c r="H187" s="71">
        <f>F187*G187</f>
        <v>0</v>
      </c>
      <c r="I187" s="71">
        <f t="shared" si="15"/>
        <v>0</v>
      </c>
      <c r="J187" s="71">
        <f t="shared" si="18"/>
        <v>0</v>
      </c>
      <c r="K187" s="191">
        <f t="shared" si="19"/>
        <v>0</v>
      </c>
    </row>
    <row r="188" spans="1:11" s="69" customFormat="1" ht="15.75" customHeight="1" hidden="1">
      <c r="A188" s="106" t="s">
        <v>279</v>
      </c>
      <c r="B188" s="74" t="s">
        <v>364</v>
      </c>
      <c r="C188" s="74" t="s">
        <v>364</v>
      </c>
      <c r="D188" s="75">
        <v>0</v>
      </c>
      <c r="E188" s="74">
        <v>70</v>
      </c>
      <c r="F188" s="74">
        <f t="shared" si="17"/>
        <v>0</v>
      </c>
      <c r="G188" s="195">
        <f>11.5+15.28</f>
        <v>26.78</v>
      </c>
      <c r="H188" s="71">
        <f t="shared" si="16"/>
        <v>0</v>
      </c>
      <c r="I188" s="71">
        <f t="shared" si="15"/>
        <v>0</v>
      </c>
      <c r="J188" s="71">
        <f t="shared" si="18"/>
        <v>0</v>
      </c>
      <c r="K188" s="191">
        <f t="shared" si="19"/>
        <v>0</v>
      </c>
    </row>
    <row r="189" spans="1:11" s="69" customFormat="1" ht="15.75" customHeight="1">
      <c r="A189" s="106" t="s">
        <v>295</v>
      </c>
      <c r="B189" s="74" t="s">
        <v>364</v>
      </c>
      <c r="C189" s="74" t="s">
        <v>364</v>
      </c>
      <c r="D189" s="75">
        <v>12</v>
      </c>
      <c r="E189" s="74">
        <v>650</v>
      </c>
      <c r="F189" s="74">
        <f t="shared" si="17"/>
        <v>7800</v>
      </c>
      <c r="G189" s="195">
        <v>2.77</v>
      </c>
      <c r="H189" s="71">
        <f t="shared" si="16"/>
        <v>21606</v>
      </c>
      <c r="I189" s="71">
        <f t="shared" si="15"/>
        <v>1800.5</v>
      </c>
      <c r="J189" s="71">
        <f>H189/12/5115.6</f>
        <v>0.3519626241301118</v>
      </c>
      <c r="K189" s="191">
        <v>0</v>
      </c>
    </row>
    <row r="190" spans="1:11" s="69" customFormat="1" ht="15.75" customHeight="1">
      <c r="A190" s="106" t="s">
        <v>296</v>
      </c>
      <c r="B190" s="74" t="s">
        <v>364</v>
      </c>
      <c r="C190" s="74" t="s">
        <v>364</v>
      </c>
      <c r="D190" s="75">
        <v>12</v>
      </c>
      <c r="E190" s="74">
        <v>0</v>
      </c>
      <c r="F190" s="74">
        <f t="shared" si="17"/>
        <v>0</v>
      </c>
      <c r="G190" s="195">
        <v>1.28</v>
      </c>
      <c r="H190" s="71">
        <f t="shared" si="16"/>
        <v>0</v>
      </c>
      <c r="I190" s="71">
        <f t="shared" si="15"/>
        <v>0</v>
      </c>
      <c r="J190" s="71">
        <f>H190/12/5115.6</f>
        <v>0</v>
      </c>
      <c r="K190" s="191">
        <v>0</v>
      </c>
    </row>
    <row r="191" spans="1:11" s="69" customFormat="1" ht="15.75" customHeight="1" thickBot="1">
      <c r="A191" s="106" t="s">
        <v>293</v>
      </c>
      <c r="B191" s="74" t="s">
        <v>364</v>
      </c>
      <c r="C191" s="74" t="s">
        <v>364</v>
      </c>
      <c r="D191" s="75">
        <v>12</v>
      </c>
      <c r="E191" s="74">
        <f>IF(E36=0,E12,0)</f>
        <v>114</v>
      </c>
      <c r="F191" s="74">
        <f t="shared" si="17"/>
        <v>1368</v>
      </c>
      <c r="G191" s="195">
        <v>51.65</v>
      </c>
      <c r="H191" s="71">
        <f t="shared" si="16"/>
        <v>70657.2</v>
      </c>
      <c r="I191" s="71">
        <f t="shared" si="15"/>
        <v>5888.099999999999</v>
      </c>
      <c r="J191" s="71">
        <f>H191/12/5115.6</f>
        <v>1.1510086793338024</v>
      </c>
      <c r="K191" s="191">
        <v>0</v>
      </c>
    </row>
    <row r="192" spans="1:11" s="69" customFormat="1" ht="15.75" customHeight="1" hidden="1">
      <c r="A192" s="106" t="s">
        <v>292</v>
      </c>
      <c r="B192" s="74" t="s">
        <v>364</v>
      </c>
      <c r="C192" s="74" t="s">
        <v>364</v>
      </c>
      <c r="D192" s="75">
        <v>0</v>
      </c>
      <c r="E192" s="74">
        <f>E12</f>
        <v>114</v>
      </c>
      <c r="F192" s="74">
        <f>D192*E192</f>
        <v>0</v>
      </c>
      <c r="G192" s="195">
        <f>51.65+4.6*1.07</f>
        <v>56.571999999999996</v>
      </c>
      <c r="H192" s="71">
        <f>F192*G192</f>
        <v>0</v>
      </c>
      <c r="I192" s="71">
        <f>H192/12</f>
        <v>0</v>
      </c>
      <c r="J192" s="71">
        <f t="shared" si="18"/>
        <v>0</v>
      </c>
      <c r="K192" s="191">
        <f t="shared" si="19"/>
        <v>0</v>
      </c>
    </row>
    <row r="193" spans="1:11" s="69" customFormat="1" ht="15.75" customHeight="1" hidden="1">
      <c r="A193" s="114" t="s">
        <v>280</v>
      </c>
      <c r="B193" s="192" t="s">
        <v>364</v>
      </c>
      <c r="C193" s="192" t="s">
        <v>364</v>
      </c>
      <c r="D193" s="200">
        <v>12</v>
      </c>
      <c r="E193" s="192">
        <v>0</v>
      </c>
      <c r="F193" s="192">
        <f t="shared" si="17"/>
        <v>0</v>
      </c>
      <c r="G193" s="202">
        <v>0</v>
      </c>
      <c r="H193" s="193">
        <f t="shared" si="16"/>
        <v>0</v>
      </c>
      <c r="I193" s="193">
        <f t="shared" si="15"/>
        <v>0</v>
      </c>
      <c r="J193" s="193">
        <f t="shared" si="18"/>
        <v>0</v>
      </c>
      <c r="K193" s="194">
        <f t="shared" si="19"/>
        <v>0</v>
      </c>
    </row>
    <row r="194" spans="1:11" s="69" customFormat="1" ht="15.75" customHeight="1">
      <c r="A194" s="203" t="s">
        <v>272</v>
      </c>
      <c r="B194" s="204"/>
      <c r="C194" s="204"/>
      <c r="D194" s="204"/>
      <c r="E194" s="204"/>
      <c r="F194" s="204"/>
      <c r="G194" s="205">
        <v>0.07</v>
      </c>
      <c r="H194" s="206">
        <f>J194*5115.6*12+K194*579.9*12</f>
        <v>69796.79660120005</v>
      </c>
      <c r="I194" s="206">
        <f t="shared" si="15"/>
        <v>5816.399716766671</v>
      </c>
      <c r="J194" s="206">
        <f>(J47+J48+J49+J177+J178+J179)*0.07</f>
        <v>1.0340086301811537</v>
      </c>
      <c r="K194" s="207">
        <f>(K47+K48+K49+K177+K178+K179)*0.1</f>
        <v>0.9084758893118834</v>
      </c>
    </row>
    <row r="195" spans="1:11" ht="15.75" customHeight="1" thickBot="1">
      <c r="A195" s="208" t="s">
        <v>525</v>
      </c>
      <c r="B195" s="209"/>
      <c r="C195" s="209"/>
      <c r="D195" s="209">
        <v>12</v>
      </c>
      <c r="E195" s="209">
        <f>E10</f>
        <v>5115.6</v>
      </c>
      <c r="F195" s="209">
        <f>D195*E195</f>
        <v>61387.200000000004</v>
      </c>
      <c r="G195" s="210">
        <v>2.5</v>
      </c>
      <c r="H195" s="211">
        <f>F195*G195</f>
        <v>153468</v>
      </c>
      <c r="I195" s="211">
        <f>H195/12</f>
        <v>12789</v>
      </c>
      <c r="J195" s="211">
        <f>H195/12/5115.6</f>
        <v>2.5</v>
      </c>
      <c r="K195" s="212">
        <v>0</v>
      </c>
    </row>
    <row r="196" spans="1:11" ht="15.75" customHeight="1">
      <c r="A196" s="213" t="s">
        <v>526</v>
      </c>
      <c r="B196" s="204"/>
      <c r="C196" s="204"/>
      <c r="D196" s="204"/>
      <c r="E196" s="204"/>
      <c r="F196" s="204"/>
      <c r="G196" s="205"/>
      <c r="H196" s="206">
        <f>H47+H48+H49+H177+H178+H179+H194+H195</f>
        <v>1193085.4918012</v>
      </c>
      <c r="I196" s="206">
        <f>H196/12</f>
        <v>99423.79098343333</v>
      </c>
      <c r="J196" s="206">
        <f>J47+J48+J49+J177+J178+J179+J194+J195</f>
        <v>18.30556048991192</v>
      </c>
      <c r="K196" s="207">
        <f>K47+K48+K49+K177+K178+K179+K194+K195</f>
        <v>9.993234782430717</v>
      </c>
    </row>
    <row r="197" spans="1:11" ht="15.75" customHeight="1" hidden="1">
      <c r="A197" s="213" t="s">
        <v>526</v>
      </c>
      <c r="B197" s="204"/>
      <c r="C197" s="204"/>
      <c r="D197" s="204"/>
      <c r="E197" s="204"/>
      <c r="F197" s="204"/>
      <c r="G197" s="205"/>
      <c r="H197" s="206"/>
      <c r="I197" s="206">
        <f>I47+I49+I177+I178+I180+I182+I194</f>
        <v>57543.43288343334</v>
      </c>
      <c r="J197" s="206"/>
      <c r="K197" s="207">
        <f>K194+K182+K180+K178+K177+K53+K49+K48+K47</f>
        <v>9.993234782430717</v>
      </c>
    </row>
    <row r="198" spans="1:11" s="69" customFormat="1" ht="15.75" customHeight="1">
      <c r="A198" s="214" t="s">
        <v>527</v>
      </c>
      <c r="B198" s="209"/>
      <c r="C198" s="209"/>
      <c r="D198" s="209">
        <v>12</v>
      </c>
      <c r="E198" s="209">
        <v>5115.6</v>
      </c>
      <c r="F198" s="209">
        <f>D198*E198</f>
        <v>61387.200000000004</v>
      </c>
      <c r="G198" s="210">
        <v>18.48</v>
      </c>
      <c r="H198" s="211">
        <f>F198*G198</f>
        <v>1134435.456</v>
      </c>
      <c r="I198" s="211">
        <f>H198/12</f>
        <v>94536.288</v>
      </c>
      <c r="J198" s="211" t="s">
        <v>364</v>
      </c>
      <c r="K198" s="212" t="s">
        <v>364</v>
      </c>
    </row>
    <row r="199" spans="1:11" s="69" customFormat="1" ht="15.75" customHeight="1">
      <c r="A199" s="214" t="s">
        <v>528</v>
      </c>
      <c r="B199" s="209"/>
      <c r="C199" s="209"/>
      <c r="D199" s="209">
        <v>12</v>
      </c>
      <c r="E199" s="209">
        <v>579.9</v>
      </c>
      <c r="F199" s="209">
        <f>D199*E199</f>
        <v>6958.799999999999</v>
      </c>
      <c r="G199" s="211">
        <v>10.16</v>
      </c>
      <c r="H199" s="211">
        <f>F199*G199</f>
        <v>70701.408</v>
      </c>
      <c r="I199" s="211">
        <f>H199/12</f>
        <v>5891.784</v>
      </c>
      <c r="J199" s="211" t="s">
        <v>364</v>
      </c>
      <c r="K199" s="212" t="s">
        <v>364</v>
      </c>
    </row>
    <row r="200" spans="1:11" s="69" customFormat="1" ht="15.75" customHeight="1" thickBot="1">
      <c r="A200" s="215" t="s">
        <v>284</v>
      </c>
      <c r="B200" s="216"/>
      <c r="C200" s="216"/>
      <c r="D200" s="216"/>
      <c r="E200" s="216"/>
      <c r="F200" s="216"/>
      <c r="G200" s="217">
        <v>0.01</v>
      </c>
      <c r="H200" s="218">
        <f>(H198+H199)*G200</f>
        <v>12051.36864</v>
      </c>
      <c r="I200" s="218">
        <f>H200/12</f>
        <v>1004.2807200000001</v>
      </c>
      <c r="J200" s="218">
        <f>H200*$J$46/12/5115.6</f>
        <v>0.1761865090086139</v>
      </c>
      <c r="K200" s="219">
        <f>H200*$K$46/12/579.9</f>
        <v>0.17618650900861388</v>
      </c>
    </row>
    <row r="201" spans="1:11" ht="15.75" customHeight="1" thickBot="1">
      <c r="A201" s="427" t="s">
        <v>302</v>
      </c>
      <c r="B201" s="428"/>
      <c r="C201" s="428"/>
      <c r="D201" s="428"/>
      <c r="E201" s="428"/>
      <c r="F201" s="428"/>
      <c r="G201" s="428"/>
      <c r="H201" s="428"/>
      <c r="I201" s="428"/>
      <c r="J201" s="220">
        <f>J196+J200</f>
        <v>18.48174699892053</v>
      </c>
      <c r="K201" s="156">
        <v>10.16</v>
      </c>
    </row>
    <row r="202" spans="1:11" ht="30" customHeight="1">
      <c r="A202" s="429" t="s">
        <v>529</v>
      </c>
      <c r="B202" s="429"/>
      <c r="C202" s="429"/>
      <c r="D202" s="429"/>
      <c r="E202" s="429"/>
      <c r="F202" s="429"/>
      <c r="G202" s="429"/>
      <c r="H202" s="429"/>
      <c r="I202" s="429"/>
      <c r="J202" s="429"/>
      <c r="K202" s="429"/>
    </row>
    <row r="203" spans="1:11" ht="15.75" customHeight="1">
      <c r="A203" s="222"/>
      <c r="B203" s="222"/>
      <c r="C203" s="222"/>
      <c r="D203" s="222"/>
      <c r="E203" s="222"/>
      <c r="F203" s="222"/>
      <c r="G203" s="222"/>
      <c r="H203" s="222"/>
      <c r="I203" s="222"/>
      <c r="J203" s="222"/>
      <c r="K203" s="222"/>
    </row>
    <row r="204" spans="1:11" ht="15.75" customHeight="1">
      <c r="A204" s="222"/>
      <c r="B204" s="222"/>
      <c r="C204" s="222"/>
      <c r="D204" s="222"/>
      <c r="E204" s="222"/>
      <c r="F204" s="222"/>
      <c r="G204" s="222"/>
      <c r="H204" s="222"/>
      <c r="I204" s="222"/>
      <c r="J204" s="222"/>
      <c r="K204" s="222"/>
    </row>
    <row r="205" spans="1:11" ht="15.75" customHeight="1">
      <c r="A205" s="165" t="s">
        <v>509</v>
      </c>
      <c r="B205" s="166"/>
      <c r="C205" s="166"/>
      <c r="D205" s="166"/>
      <c r="E205" s="167"/>
      <c r="F205" s="167"/>
      <c r="G205" s="166"/>
      <c r="H205" s="168"/>
      <c r="I205" s="223"/>
      <c r="J205" s="169"/>
      <c r="K205" s="169" t="s">
        <v>510</v>
      </c>
    </row>
    <row r="206" spans="1:11" ht="15.75" customHeight="1">
      <c r="A206" s="170"/>
      <c r="B206" s="166"/>
      <c r="C206" s="166"/>
      <c r="D206" s="166"/>
      <c r="E206" s="167"/>
      <c r="F206" s="167"/>
      <c r="G206" s="166"/>
      <c r="H206" s="171">
        <v>40634</v>
      </c>
      <c r="I206" s="224"/>
      <c r="J206" s="169"/>
      <c r="K206" s="169"/>
    </row>
    <row r="207" spans="1:11" ht="15.75" customHeight="1">
      <c r="A207" s="170"/>
      <c r="B207" s="166"/>
      <c r="C207" s="166"/>
      <c r="D207" s="166"/>
      <c r="E207" s="167"/>
      <c r="F207" s="167"/>
      <c r="G207" s="166"/>
      <c r="H207" s="171"/>
      <c r="J207" s="169"/>
      <c r="K207" s="169"/>
    </row>
    <row r="208" spans="1:11" ht="15.75" customHeight="1">
      <c r="A208" s="170"/>
      <c r="B208" s="166"/>
      <c r="C208" s="166"/>
      <c r="D208" s="166"/>
      <c r="E208" s="167"/>
      <c r="F208" s="167"/>
      <c r="G208" s="166"/>
      <c r="H208" s="171"/>
      <c r="I208" s="169"/>
      <c r="J208" s="169"/>
      <c r="K208" s="169"/>
    </row>
  </sheetData>
  <mergeCells count="12">
    <mergeCell ref="J45:K45"/>
    <mergeCell ref="A201:I201"/>
    <mergeCell ref="A202:K202"/>
    <mergeCell ref="A45:F46"/>
    <mergeCell ref="G45:G46"/>
    <mergeCell ref="H45:H46"/>
    <mergeCell ref="I45:I46"/>
    <mergeCell ref="B7:C7"/>
    <mergeCell ref="G1:K1"/>
    <mergeCell ref="G2:K2"/>
    <mergeCell ref="G3:K3"/>
    <mergeCell ref="A6:K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1"/>
  <sheetViews>
    <sheetView workbookViewId="0" topLeftCell="A1">
      <selection activeCell="A200" sqref="A200"/>
    </sheetView>
  </sheetViews>
  <sheetFormatPr defaultColWidth="9.00390625" defaultRowHeight="15" customHeight="1" outlineLevelRow="3" outlineLevelCol="1"/>
  <cols>
    <col min="1" max="1" width="66.50390625" style="72" customWidth="1" collapsed="1"/>
    <col min="2" max="4" width="11.375" style="163" hidden="1" customWidth="1" outlineLevel="1"/>
    <col min="5" max="5" width="11.375" style="128" hidden="1" customWidth="1" outlineLevel="1"/>
    <col min="6" max="6" width="12.625" style="128" hidden="1" customWidth="1" outlineLevel="1"/>
    <col min="7" max="7" width="11.375" style="163" hidden="1" customWidth="1" outlineLevel="1"/>
    <col min="8" max="8" width="17.125" style="164" customWidth="1" collapsed="1"/>
    <col min="9" max="9" width="17.125" style="164" customWidth="1"/>
    <col min="10" max="10" width="18.625" style="69" customWidth="1"/>
    <col min="11" max="16384" width="9.125" style="72" customWidth="1"/>
  </cols>
  <sheetData>
    <row r="1" spans="1:10" s="69" customFormat="1" ht="15" customHeight="1">
      <c r="A1" s="66" t="s">
        <v>323</v>
      </c>
      <c r="B1" s="67"/>
      <c r="C1" s="67"/>
      <c r="D1" s="67"/>
      <c r="E1" s="68"/>
      <c r="F1" s="68"/>
      <c r="G1" s="439" t="s">
        <v>323</v>
      </c>
      <c r="H1" s="439"/>
      <c r="I1" s="439"/>
      <c r="J1" s="439"/>
    </row>
    <row r="2" spans="1:10" s="69" customFormat="1" ht="15" customHeight="1">
      <c r="A2" s="69" t="s">
        <v>324</v>
      </c>
      <c r="B2" s="67"/>
      <c r="C2" s="67"/>
      <c r="D2" s="67"/>
      <c r="E2" s="68"/>
      <c r="F2" s="68"/>
      <c r="G2" s="439" t="s">
        <v>325</v>
      </c>
      <c r="H2" s="439"/>
      <c r="I2" s="439"/>
      <c r="J2" s="439"/>
    </row>
    <row r="3" spans="1:10" s="69" customFormat="1" ht="15" customHeight="1">
      <c r="A3" s="69" t="s">
        <v>326</v>
      </c>
      <c r="B3" s="67"/>
      <c r="C3" s="67"/>
      <c r="D3" s="67"/>
      <c r="E3" s="68"/>
      <c r="F3" s="68"/>
      <c r="G3" s="439" t="s">
        <v>327</v>
      </c>
      <c r="H3" s="439"/>
      <c r="I3" s="439"/>
      <c r="J3" s="439"/>
    </row>
    <row r="4" spans="2:10" s="69" customFormat="1" ht="15" customHeight="1">
      <c r="B4" s="67"/>
      <c r="C4" s="67"/>
      <c r="D4" s="67"/>
      <c r="E4" s="68"/>
      <c r="F4" s="68"/>
      <c r="G4" s="70"/>
      <c r="H4" s="70"/>
      <c r="I4" s="70"/>
      <c r="J4" s="70"/>
    </row>
    <row r="5" spans="2:10" s="69" customFormat="1" ht="15" customHeight="1">
      <c r="B5" s="67"/>
      <c r="C5" s="67"/>
      <c r="D5" s="67"/>
      <c r="E5" s="68"/>
      <c r="F5" s="68"/>
      <c r="G5" s="70"/>
      <c r="H5" s="70"/>
      <c r="I5" s="70"/>
      <c r="J5" s="70"/>
    </row>
    <row r="6" spans="1:9" ht="18" customHeight="1" collapsed="1">
      <c r="A6" s="419" t="s">
        <v>560</v>
      </c>
      <c r="B6" s="419"/>
      <c r="C6" s="419"/>
      <c r="D6" s="419"/>
      <c r="E6" s="419"/>
      <c r="F6" s="419"/>
      <c r="G6" s="419"/>
      <c r="H6" s="419"/>
      <c r="I6" s="419"/>
    </row>
    <row r="7" spans="1:9" s="69" customFormat="1" ht="15" customHeight="1" hidden="1" outlineLevel="1">
      <c r="A7" s="173" t="s">
        <v>328</v>
      </c>
      <c r="B7" s="420"/>
      <c r="C7" s="420"/>
      <c r="D7" s="73"/>
      <c r="E7" s="74" t="s">
        <v>329</v>
      </c>
      <c r="F7" s="74"/>
      <c r="G7" s="75"/>
      <c r="H7" s="62" t="s">
        <v>288</v>
      </c>
      <c r="I7" s="71" t="s">
        <v>330</v>
      </c>
    </row>
    <row r="8" spans="1:9" s="69" customFormat="1" ht="15" customHeight="1" hidden="1" outlineLevel="1">
      <c r="A8" s="76" t="s">
        <v>331</v>
      </c>
      <c r="B8" s="77">
        <v>1964</v>
      </c>
      <c r="C8" s="77">
        <v>2011</v>
      </c>
      <c r="D8" s="77"/>
      <c r="E8" s="78">
        <f>C8-B8</f>
        <v>47</v>
      </c>
      <c r="F8" s="78"/>
      <c r="G8" s="78"/>
      <c r="H8" s="79"/>
      <c r="I8" s="80"/>
    </row>
    <row r="9" spans="1:9" s="69" customFormat="1" ht="15" customHeight="1" hidden="1" outlineLevel="1">
      <c r="A9" s="81" t="s">
        <v>332</v>
      </c>
      <c r="B9" s="82"/>
      <c r="C9" s="82"/>
      <c r="D9" s="82"/>
      <c r="E9" s="82">
        <v>2435.8</v>
      </c>
      <c r="F9" s="82"/>
      <c r="G9" s="83"/>
      <c r="H9" s="84"/>
      <c r="I9" s="85"/>
    </row>
    <row r="10" spans="1:9" s="69" customFormat="1" ht="15" customHeight="1" hidden="1" outlineLevel="1">
      <c r="A10" s="81" t="s">
        <v>25</v>
      </c>
      <c r="B10" s="82"/>
      <c r="C10" s="82"/>
      <c r="D10" s="82"/>
      <c r="E10" s="82">
        <v>60</v>
      </c>
      <c r="F10" s="82"/>
      <c r="G10" s="83"/>
      <c r="H10" s="84"/>
      <c r="I10" s="85"/>
    </row>
    <row r="11" spans="1:9" s="69" customFormat="1" ht="15" customHeight="1" hidden="1" outlineLevel="1">
      <c r="A11" s="81" t="s">
        <v>333</v>
      </c>
      <c r="B11" s="82"/>
      <c r="C11" s="82"/>
      <c r="D11" s="82"/>
      <c r="E11" s="82">
        <v>670.1</v>
      </c>
      <c r="F11" s="82"/>
      <c r="G11" s="83"/>
      <c r="H11" s="84"/>
      <c r="I11" s="85"/>
    </row>
    <row r="12" spans="1:9" s="69" customFormat="1" ht="15" customHeight="1" hidden="1" outlineLevel="1">
      <c r="A12" s="81" t="s">
        <v>561</v>
      </c>
      <c r="B12" s="82"/>
      <c r="C12" s="82"/>
      <c r="D12" s="82"/>
      <c r="E12" s="82">
        <v>0</v>
      </c>
      <c r="F12" s="82"/>
      <c r="G12" s="83"/>
      <c r="H12" s="84"/>
      <c r="I12" s="85"/>
    </row>
    <row r="13" spans="1:9" s="69" customFormat="1" ht="15" customHeight="1" hidden="1" outlineLevel="1">
      <c r="A13" s="81" t="s">
        <v>335</v>
      </c>
      <c r="B13" s="82"/>
      <c r="C13" s="82"/>
      <c r="D13" s="82"/>
      <c r="E13" s="82">
        <v>9515</v>
      </c>
      <c r="F13" s="82"/>
      <c r="G13" s="83"/>
      <c r="H13" s="84"/>
      <c r="I13" s="85"/>
    </row>
    <row r="14" spans="1:9" s="69" customFormat="1" ht="15" customHeight="1" hidden="1" outlineLevel="1">
      <c r="A14" s="81" t="s">
        <v>336</v>
      </c>
      <c r="B14" s="82"/>
      <c r="C14" s="82"/>
      <c r="D14" s="82"/>
      <c r="E14" s="82">
        <v>0</v>
      </c>
      <c r="F14" s="82"/>
      <c r="G14" s="83"/>
      <c r="H14" s="84"/>
      <c r="I14" s="85"/>
    </row>
    <row r="15" spans="1:9" s="69" customFormat="1" ht="15" customHeight="1" hidden="1" outlineLevel="1">
      <c r="A15" s="81" t="s">
        <v>337</v>
      </c>
      <c r="B15" s="82"/>
      <c r="C15" s="82"/>
      <c r="D15" s="82"/>
      <c r="E15" s="82">
        <v>227.7</v>
      </c>
      <c r="F15" s="82"/>
      <c r="G15" s="83"/>
      <c r="H15" s="84"/>
      <c r="I15" s="85"/>
    </row>
    <row r="16" spans="1:9" s="69" customFormat="1" ht="15" customHeight="1" hidden="1" outlineLevel="1">
      <c r="A16" s="81" t="s">
        <v>338</v>
      </c>
      <c r="B16" s="82"/>
      <c r="C16" s="82"/>
      <c r="D16" s="82"/>
      <c r="E16" s="82">
        <v>292</v>
      </c>
      <c r="F16" s="82"/>
      <c r="G16" s="83"/>
      <c r="H16" s="84"/>
      <c r="I16" s="85"/>
    </row>
    <row r="17" spans="1:9" ht="15" customHeight="1" hidden="1" outlineLevel="1">
      <c r="A17" s="81" t="s">
        <v>339</v>
      </c>
      <c r="B17" s="82"/>
      <c r="C17" s="82"/>
      <c r="D17" s="82"/>
      <c r="E17" s="82">
        <v>17</v>
      </c>
      <c r="F17" s="82"/>
      <c r="G17" s="83"/>
      <c r="H17" s="84"/>
      <c r="I17" s="85"/>
    </row>
    <row r="18" spans="1:9" ht="15" customHeight="1" hidden="1" outlineLevel="1">
      <c r="A18" s="81" t="s">
        <v>340</v>
      </c>
      <c r="B18" s="82"/>
      <c r="C18" s="82"/>
      <c r="D18" s="82"/>
      <c r="E18" s="82">
        <v>625</v>
      </c>
      <c r="F18" s="82"/>
      <c r="G18" s="83"/>
      <c r="H18" s="84"/>
      <c r="I18" s="85"/>
    </row>
    <row r="19" spans="1:9" ht="15" customHeight="1" hidden="1" outlineLevel="1">
      <c r="A19" s="81" t="s">
        <v>341</v>
      </c>
      <c r="B19" s="82"/>
      <c r="C19" s="82"/>
      <c r="D19" s="82"/>
      <c r="E19" s="82">
        <v>80</v>
      </c>
      <c r="F19" s="82"/>
      <c r="G19" s="83"/>
      <c r="H19" s="84"/>
      <c r="I19" s="85"/>
    </row>
    <row r="20" spans="1:9" ht="15" customHeight="1" hidden="1" outlineLevel="1">
      <c r="A20" s="81" t="s">
        <v>342</v>
      </c>
      <c r="B20" s="82"/>
      <c r="C20" s="82"/>
      <c r="D20" s="82"/>
      <c r="E20" s="82">
        <f>80+215</f>
        <v>295</v>
      </c>
      <c r="F20" s="82"/>
      <c r="G20" s="83"/>
      <c r="H20" s="84"/>
      <c r="I20" s="85"/>
    </row>
    <row r="21" spans="1:9" ht="15" customHeight="1" hidden="1" outlineLevel="1">
      <c r="A21" s="81" t="s">
        <v>343</v>
      </c>
      <c r="B21" s="82"/>
      <c r="C21" s="82"/>
      <c r="D21" s="82"/>
      <c r="E21" s="82">
        <v>15</v>
      </c>
      <c r="F21" s="82"/>
      <c r="G21" s="83"/>
      <c r="H21" s="84"/>
      <c r="I21" s="85"/>
    </row>
    <row r="22" spans="1:9" ht="15" customHeight="1" hidden="1" outlineLevel="1">
      <c r="A22" s="81" t="s">
        <v>344</v>
      </c>
      <c r="B22" s="82"/>
      <c r="C22" s="82"/>
      <c r="D22" s="82"/>
      <c r="E22" s="82">
        <v>804</v>
      </c>
      <c r="F22" s="82"/>
      <c r="G22" s="83"/>
      <c r="H22" s="84"/>
      <c r="I22" s="85"/>
    </row>
    <row r="23" spans="1:9" ht="15" customHeight="1" hidden="1" outlineLevel="1">
      <c r="A23" s="81" t="s">
        <v>345</v>
      </c>
      <c r="B23" s="82"/>
      <c r="C23" s="82"/>
      <c r="D23" s="82"/>
      <c r="E23" s="82">
        <v>1</v>
      </c>
      <c r="F23" s="82"/>
      <c r="G23" s="83"/>
      <c r="H23" s="84"/>
      <c r="I23" s="85"/>
    </row>
    <row r="24" spans="1:9" ht="15" customHeight="1" hidden="1" outlineLevel="1">
      <c r="A24" s="81" t="s">
        <v>346</v>
      </c>
      <c r="B24" s="82"/>
      <c r="C24" s="82"/>
      <c r="D24" s="82"/>
      <c r="E24" s="82">
        <v>180</v>
      </c>
      <c r="F24" s="82"/>
      <c r="G24" s="83"/>
      <c r="H24" s="84"/>
      <c r="I24" s="85"/>
    </row>
    <row r="25" spans="1:9" ht="15" customHeight="1" hidden="1" outlineLevel="1">
      <c r="A25" s="81" t="s">
        <v>347</v>
      </c>
      <c r="B25" s="82"/>
      <c r="C25" s="82"/>
      <c r="D25" s="82"/>
      <c r="E25" s="82">
        <v>0</v>
      </c>
      <c r="F25" s="82"/>
      <c r="G25" s="83"/>
      <c r="H25" s="84"/>
      <c r="I25" s="85"/>
    </row>
    <row r="26" spans="1:9" ht="15" customHeight="1" hidden="1" outlineLevel="1">
      <c r="A26" s="81" t="s">
        <v>348</v>
      </c>
      <c r="B26" s="82"/>
      <c r="C26" s="82"/>
      <c r="D26" s="82"/>
      <c r="E26" s="82">
        <v>1</v>
      </c>
      <c r="F26" s="82"/>
      <c r="G26" s="83"/>
      <c r="H26" s="84"/>
      <c r="I26" s="85"/>
    </row>
    <row r="27" spans="1:9" ht="15" customHeight="1" hidden="1" outlineLevel="1">
      <c r="A27" s="81" t="s">
        <v>349</v>
      </c>
      <c r="B27" s="82"/>
      <c r="C27" s="82"/>
      <c r="D27" s="82"/>
      <c r="E27" s="82">
        <v>0</v>
      </c>
      <c r="F27" s="82"/>
      <c r="G27" s="83"/>
      <c r="H27" s="84"/>
      <c r="I27" s="85"/>
    </row>
    <row r="28" spans="1:9" ht="15" customHeight="1" hidden="1" outlineLevel="1">
      <c r="A28" s="81" t="s">
        <v>31</v>
      </c>
      <c r="B28" s="82"/>
      <c r="C28" s="82"/>
      <c r="D28" s="82"/>
      <c r="E28" s="82">
        <v>0</v>
      </c>
      <c r="F28" s="82"/>
      <c r="G28" s="83"/>
      <c r="H28" s="84"/>
      <c r="I28" s="85"/>
    </row>
    <row r="29" spans="1:9" ht="15" customHeight="1" hidden="1" outlineLevel="1">
      <c r="A29" s="81" t="s">
        <v>350</v>
      </c>
      <c r="B29" s="82"/>
      <c r="C29" s="82"/>
      <c r="D29" s="82"/>
      <c r="E29" s="82">
        <v>22.5</v>
      </c>
      <c r="F29" s="82"/>
      <c r="G29" s="83"/>
      <c r="H29" s="84"/>
      <c r="I29" s="85"/>
    </row>
    <row r="30" spans="1:9" ht="15" customHeight="1" hidden="1" outlineLevel="1">
      <c r="A30" s="81" t="s">
        <v>351</v>
      </c>
      <c r="B30" s="82"/>
      <c r="C30" s="82"/>
      <c r="D30" s="82"/>
      <c r="E30" s="82">
        <v>120</v>
      </c>
      <c r="F30" s="82"/>
      <c r="G30" s="83"/>
      <c r="H30" s="84"/>
      <c r="I30" s="85"/>
    </row>
    <row r="31" spans="1:9" ht="15" customHeight="1" hidden="1" outlineLevel="1">
      <c r="A31" s="81" t="s">
        <v>352</v>
      </c>
      <c r="B31" s="82"/>
      <c r="C31" s="82"/>
      <c r="D31" s="82"/>
      <c r="E31" s="82">
        <v>60</v>
      </c>
      <c r="F31" s="82"/>
      <c r="G31" s="83"/>
      <c r="H31" s="84"/>
      <c r="I31" s="85"/>
    </row>
    <row r="32" spans="1:9" ht="15" customHeight="1" hidden="1" outlineLevel="1">
      <c r="A32" s="81" t="s">
        <v>353</v>
      </c>
      <c r="B32" s="82"/>
      <c r="C32" s="82"/>
      <c r="D32" s="82"/>
      <c r="E32" s="82"/>
      <c r="F32" s="82"/>
      <c r="G32" s="83"/>
      <c r="H32" s="84"/>
      <c r="I32" s="85"/>
    </row>
    <row r="33" spans="1:9" s="69" customFormat="1" ht="15" customHeight="1" hidden="1" outlineLevel="1">
      <c r="A33" s="81" t="s">
        <v>354</v>
      </c>
      <c r="B33" s="82"/>
      <c r="C33" s="82"/>
      <c r="D33" s="82"/>
      <c r="E33" s="82"/>
      <c r="F33" s="82"/>
      <c r="G33" s="83"/>
      <c r="H33" s="84"/>
      <c r="I33" s="85"/>
    </row>
    <row r="34" spans="1:9" s="69" customFormat="1" ht="15" customHeight="1" hidden="1" outlineLevel="1">
      <c r="A34" s="81" t="s">
        <v>355</v>
      </c>
      <c r="B34" s="82"/>
      <c r="C34" s="82"/>
      <c r="D34" s="82"/>
      <c r="E34" s="82"/>
      <c r="F34" s="82"/>
      <c r="G34" s="83"/>
      <c r="H34" s="84"/>
      <c r="I34" s="85"/>
    </row>
    <row r="35" spans="1:9" s="69" customFormat="1" ht="15" customHeight="1" hidden="1" outlineLevel="1">
      <c r="A35" s="81" t="s">
        <v>356</v>
      </c>
      <c r="B35" s="82"/>
      <c r="C35" s="82"/>
      <c r="D35" s="82"/>
      <c r="E35" s="82"/>
      <c r="F35" s="82"/>
      <c r="G35" s="83"/>
      <c r="H35" s="84"/>
      <c r="I35" s="85"/>
    </row>
    <row r="36" spans="1:9" s="69" customFormat="1" ht="15" customHeight="1" hidden="1" outlineLevel="1" thickBot="1">
      <c r="A36" s="81" t="s">
        <v>357</v>
      </c>
      <c r="B36" s="82"/>
      <c r="C36" s="82"/>
      <c r="D36" s="82"/>
      <c r="E36" s="82" t="s">
        <v>516</v>
      </c>
      <c r="F36" s="82"/>
      <c r="G36" s="83"/>
      <c r="H36" s="84"/>
      <c r="I36" s="85"/>
    </row>
    <row r="37" spans="1:9" s="69" customFormat="1" ht="15" customHeight="1" hidden="1" outlineLevel="1" thickBot="1">
      <c r="A37" s="174" t="s">
        <v>517</v>
      </c>
      <c r="B37" s="78"/>
      <c r="C37" s="78"/>
      <c r="D37" s="78"/>
      <c r="E37" s="175"/>
      <c r="F37" s="175"/>
      <c r="G37" s="78"/>
      <c r="H37" s="175" t="e">
        <f>#REF!</f>
        <v>#REF!</v>
      </c>
      <c r="I37" s="225" t="e">
        <f>H37/12</f>
        <v>#REF!</v>
      </c>
    </row>
    <row r="38" spans="1:9" s="69" customFormat="1" ht="15" customHeight="1" hidden="1" outlineLevel="1" thickBot="1">
      <c r="A38" s="178" t="s">
        <v>518</v>
      </c>
      <c r="B38" s="83"/>
      <c r="C38" s="83"/>
      <c r="D38" s="83"/>
      <c r="E38" s="179"/>
      <c r="F38" s="179"/>
      <c r="G38" s="83"/>
      <c r="H38" s="179" t="e">
        <f>#REF!</f>
        <v>#REF!</v>
      </c>
      <c r="I38" s="226" t="e">
        <f>H38/12</f>
        <v>#REF!</v>
      </c>
    </row>
    <row r="39" spans="1:9" s="69" customFormat="1" ht="15" customHeight="1" hidden="1" outlineLevel="1" thickBot="1">
      <c r="A39" s="178" t="s">
        <v>519</v>
      </c>
      <c r="B39" s="83"/>
      <c r="C39" s="83"/>
      <c r="D39" s="83"/>
      <c r="E39" s="179"/>
      <c r="F39" s="179"/>
      <c r="G39" s="83"/>
      <c r="H39" s="179" t="e">
        <f>#REF!</f>
        <v>#REF!</v>
      </c>
      <c r="I39" s="226" t="e">
        <f>H39/12</f>
        <v>#REF!</v>
      </c>
    </row>
    <row r="40" spans="1:9" s="69" customFormat="1" ht="15" customHeight="1" hidden="1" outlineLevel="1">
      <c r="A40" s="178" t="s">
        <v>520</v>
      </c>
      <c r="B40" s="83"/>
      <c r="C40" s="83"/>
      <c r="D40" s="83"/>
      <c r="E40" s="179"/>
      <c r="F40" s="179"/>
      <c r="G40" s="83"/>
      <c r="H40" s="179" t="e">
        <f>#REF!</f>
        <v>#REF!</v>
      </c>
      <c r="I40" s="226" t="e">
        <f>H40/5.5</f>
        <v>#REF!</v>
      </c>
    </row>
    <row r="41" spans="1:9" s="69" customFormat="1" ht="15" customHeight="1" hidden="1" outlineLevel="1">
      <c r="A41" s="178" t="s">
        <v>521</v>
      </c>
      <c r="B41" s="83"/>
      <c r="C41" s="83"/>
      <c r="D41" s="83"/>
      <c r="E41" s="179"/>
      <c r="F41" s="179"/>
      <c r="G41" s="83"/>
      <c r="H41" s="179" t="e">
        <f>#REF!</f>
        <v>#REF!</v>
      </c>
      <c r="I41" s="226" t="e">
        <f>H41/6.5</f>
        <v>#REF!</v>
      </c>
    </row>
    <row r="42" spans="1:9" s="69" customFormat="1" ht="15" customHeight="1" hidden="1" outlineLevel="1">
      <c r="A42" s="227" t="s">
        <v>522</v>
      </c>
      <c r="B42" s="88"/>
      <c r="C42" s="88"/>
      <c r="D42" s="88"/>
      <c r="E42" s="228"/>
      <c r="F42" s="228"/>
      <c r="G42" s="88"/>
      <c r="H42" s="228">
        <f>F51</f>
        <v>0</v>
      </c>
      <c r="I42" s="229">
        <f>H42/12</f>
        <v>0</v>
      </c>
    </row>
    <row r="43" spans="1:10" s="91" customFormat="1" ht="20.25" customHeight="1" collapsed="1" thickBot="1">
      <c r="A43" s="440" t="s">
        <v>287</v>
      </c>
      <c r="B43" s="440"/>
      <c r="C43" s="440"/>
      <c r="D43" s="440"/>
      <c r="E43" s="440"/>
      <c r="F43" s="440"/>
      <c r="G43" s="231" t="s">
        <v>358</v>
      </c>
      <c r="H43" s="63" t="s">
        <v>288</v>
      </c>
      <c r="I43" s="63" t="s">
        <v>294</v>
      </c>
      <c r="J43" s="63" t="s">
        <v>300</v>
      </c>
    </row>
    <row r="44" spans="1:10" s="97" customFormat="1" ht="31.5" thickBot="1">
      <c r="A44" s="232" t="s">
        <v>274</v>
      </c>
      <c r="B44" s="233" t="s">
        <v>359</v>
      </c>
      <c r="C44" s="233" t="s">
        <v>360</v>
      </c>
      <c r="D44" s="233" t="s">
        <v>361</v>
      </c>
      <c r="E44" s="233" t="s">
        <v>329</v>
      </c>
      <c r="F44" s="233" t="s">
        <v>362</v>
      </c>
      <c r="G44" s="221" t="s">
        <v>363</v>
      </c>
      <c r="H44" s="234">
        <v>102735.7</v>
      </c>
      <c r="I44" s="234">
        <f aca="true" t="shared" si="0" ref="I44:I51">H44/12</f>
        <v>8561.308333333332</v>
      </c>
      <c r="J44" s="235">
        <f>I44/$E$9</f>
        <v>3.5147829597394415</v>
      </c>
    </row>
    <row r="45" spans="1:10" s="97" customFormat="1" ht="31.5" thickBot="1">
      <c r="A45" s="232" t="s">
        <v>273</v>
      </c>
      <c r="B45" s="233" t="s">
        <v>359</v>
      </c>
      <c r="C45" s="233" t="s">
        <v>360</v>
      </c>
      <c r="D45" s="233" t="s">
        <v>361</v>
      </c>
      <c r="E45" s="233" t="s">
        <v>329</v>
      </c>
      <c r="F45" s="233" t="s">
        <v>362</v>
      </c>
      <c r="G45" s="221" t="s">
        <v>363</v>
      </c>
      <c r="H45" s="234">
        <v>64172.27</v>
      </c>
      <c r="I45" s="234">
        <f t="shared" si="0"/>
        <v>5347.689166666666</v>
      </c>
      <c r="J45" s="235">
        <f>I45/$E$9</f>
        <v>2.1954549497769382</v>
      </c>
    </row>
    <row r="46" spans="1:10" s="118" customFormat="1" ht="31.5" thickBot="1">
      <c r="A46" s="232" t="s">
        <v>275</v>
      </c>
      <c r="B46" s="233" t="s">
        <v>359</v>
      </c>
      <c r="C46" s="233" t="s">
        <v>360</v>
      </c>
      <c r="D46" s="233" t="s">
        <v>361</v>
      </c>
      <c r="E46" s="233" t="s">
        <v>329</v>
      </c>
      <c r="F46" s="233" t="s">
        <v>362</v>
      </c>
      <c r="G46" s="221" t="s">
        <v>363</v>
      </c>
      <c r="H46" s="234">
        <v>81640.65</v>
      </c>
      <c r="I46" s="234">
        <f t="shared" si="0"/>
        <v>6803.3875</v>
      </c>
      <c r="J46" s="235">
        <f>I46/$E$9</f>
        <v>2.793081328516298</v>
      </c>
    </row>
    <row r="47" spans="1:10" ht="15" customHeight="1" hidden="1" outlineLevel="2">
      <c r="A47" s="239" t="s">
        <v>384</v>
      </c>
      <c r="B47" s="128"/>
      <c r="C47" s="128"/>
      <c r="D47" s="127"/>
      <c r="E47" s="164"/>
      <c r="F47" s="128">
        <v>0</v>
      </c>
      <c r="G47" s="163">
        <v>766</v>
      </c>
      <c r="H47" s="164">
        <f>F47*G47</f>
        <v>0</v>
      </c>
      <c r="I47" s="164">
        <f t="shared" si="0"/>
        <v>0</v>
      </c>
      <c r="J47" s="237">
        <f aca="true" t="shared" si="1" ref="J47:J67">I47/$E$9</f>
        <v>0</v>
      </c>
    </row>
    <row r="48" spans="1:10" ht="15" customHeight="1" hidden="1" outlineLevel="2">
      <c r="A48" s="239" t="s">
        <v>385</v>
      </c>
      <c r="B48" s="128"/>
      <c r="C48" s="128"/>
      <c r="D48" s="127"/>
      <c r="E48" s="164"/>
      <c r="F48" s="128">
        <v>0</v>
      </c>
      <c r="G48" s="163">
        <v>680</v>
      </c>
      <c r="H48" s="164">
        <f>F48*G48</f>
        <v>0</v>
      </c>
      <c r="I48" s="164">
        <f t="shared" si="0"/>
        <v>0</v>
      </c>
      <c r="J48" s="237">
        <f t="shared" si="1"/>
        <v>0</v>
      </c>
    </row>
    <row r="49" spans="1:10" ht="15" customHeight="1" hidden="1" outlineLevel="2">
      <c r="A49" s="239" t="s">
        <v>386</v>
      </c>
      <c r="B49" s="128"/>
      <c r="C49" s="128"/>
      <c r="D49" s="127"/>
      <c r="E49" s="164"/>
      <c r="F49" s="128">
        <v>0</v>
      </c>
      <c r="G49" s="163">
        <v>790</v>
      </c>
      <c r="H49" s="164">
        <f>F49*G49</f>
        <v>0</v>
      </c>
      <c r="I49" s="164">
        <f t="shared" si="0"/>
        <v>0</v>
      </c>
      <c r="J49" s="237">
        <f t="shared" si="1"/>
        <v>0</v>
      </c>
    </row>
    <row r="50" spans="1:10" s="118" customFormat="1" ht="31.5" hidden="1" collapsed="1" thickBot="1">
      <c r="A50" s="92" t="s">
        <v>282</v>
      </c>
      <c r="B50" s="93" t="s">
        <v>359</v>
      </c>
      <c r="C50" s="93" t="s">
        <v>360</v>
      </c>
      <c r="D50" s="93" t="s">
        <v>361</v>
      </c>
      <c r="E50" s="93" t="s">
        <v>329</v>
      </c>
      <c r="F50" s="93" t="s">
        <v>362</v>
      </c>
      <c r="G50" s="94" t="s">
        <v>363</v>
      </c>
      <c r="H50" s="95">
        <f>H51+H142+H143+H144+H145+H165+H173</f>
        <v>0</v>
      </c>
      <c r="I50" s="95">
        <f t="shared" si="0"/>
        <v>0</v>
      </c>
      <c r="J50" s="96">
        <f t="shared" si="1"/>
        <v>0</v>
      </c>
    </row>
    <row r="51" spans="1:10" s="69" customFormat="1" ht="15" customHeight="1" hidden="1" outlineLevel="1" collapsed="1">
      <c r="A51" s="198" t="s">
        <v>387</v>
      </c>
      <c r="B51" s="99" t="s">
        <v>364</v>
      </c>
      <c r="C51" s="99" t="s">
        <v>364</v>
      </c>
      <c r="D51" s="99" t="s">
        <v>364</v>
      </c>
      <c r="E51" s="99" t="s">
        <v>364</v>
      </c>
      <c r="F51" s="99">
        <f>SUM(F52:F141)</f>
        <v>0</v>
      </c>
      <c r="G51" s="100">
        <v>6000</v>
      </c>
      <c r="H51" s="100">
        <f>F51*G51</f>
        <v>0</v>
      </c>
      <c r="I51" s="100">
        <f t="shared" si="0"/>
        <v>0</v>
      </c>
      <c r="J51" s="236">
        <f t="shared" si="1"/>
        <v>0</v>
      </c>
    </row>
    <row r="52" spans="1:10" s="138" customFormat="1" ht="15" customHeight="1" hidden="1" outlineLevel="3">
      <c r="A52" s="136" t="s">
        <v>388</v>
      </c>
      <c r="B52" s="137" t="s">
        <v>389</v>
      </c>
      <c r="C52" s="137">
        <v>440</v>
      </c>
      <c r="D52" s="137">
        <v>12</v>
      </c>
      <c r="E52" s="112"/>
      <c r="F52" s="110">
        <f>E52/C52*D52</f>
        <v>0</v>
      </c>
      <c r="G52" s="112"/>
      <c r="H52" s="111"/>
      <c r="I52" s="111"/>
      <c r="J52" s="237">
        <f t="shared" si="1"/>
        <v>0</v>
      </c>
    </row>
    <row r="53" spans="1:10" s="138" customFormat="1" ht="15" customHeight="1" hidden="1" outlineLevel="3">
      <c r="A53" s="136" t="s">
        <v>390</v>
      </c>
      <c r="B53" s="137" t="s">
        <v>389</v>
      </c>
      <c r="C53" s="137">
        <v>420</v>
      </c>
      <c r="D53" s="137">
        <v>12</v>
      </c>
      <c r="E53" s="112"/>
      <c r="F53" s="110">
        <f aca="true" t="shared" si="2" ref="F53:F116">E53/C53*D53</f>
        <v>0</v>
      </c>
      <c r="G53" s="112"/>
      <c r="H53" s="111"/>
      <c r="I53" s="111"/>
      <c r="J53" s="237">
        <f t="shared" si="1"/>
        <v>0</v>
      </c>
    </row>
    <row r="54" spans="1:10" s="138" customFormat="1" ht="15" customHeight="1" hidden="1" outlineLevel="3">
      <c r="A54" s="136" t="s">
        <v>391</v>
      </c>
      <c r="B54" s="137" t="s">
        <v>389</v>
      </c>
      <c r="C54" s="137">
        <v>410</v>
      </c>
      <c r="D54" s="137">
        <v>12</v>
      </c>
      <c r="E54" s="112"/>
      <c r="F54" s="110">
        <f t="shared" si="2"/>
        <v>0</v>
      </c>
      <c r="G54" s="112"/>
      <c r="H54" s="111"/>
      <c r="I54" s="111"/>
      <c r="J54" s="237">
        <f t="shared" si="1"/>
        <v>0</v>
      </c>
    </row>
    <row r="55" spans="1:10" s="138" customFormat="1" ht="15" customHeight="1" hidden="1" outlineLevel="3">
      <c r="A55" s="136" t="s">
        <v>392</v>
      </c>
      <c r="B55" s="137" t="s">
        <v>389</v>
      </c>
      <c r="C55" s="137">
        <v>460</v>
      </c>
      <c r="D55" s="137">
        <v>12</v>
      </c>
      <c r="E55" s="112"/>
      <c r="F55" s="110">
        <f t="shared" si="2"/>
        <v>0</v>
      </c>
      <c r="G55" s="112"/>
      <c r="H55" s="111"/>
      <c r="I55" s="111"/>
      <c r="J55" s="237">
        <f t="shared" si="1"/>
        <v>0</v>
      </c>
    </row>
    <row r="56" spans="1:10" s="138" customFormat="1" ht="15" customHeight="1" hidden="1" outlineLevel="3">
      <c r="A56" s="136" t="s">
        <v>393</v>
      </c>
      <c r="B56" s="137" t="s">
        <v>389</v>
      </c>
      <c r="C56" s="137">
        <v>450</v>
      </c>
      <c r="D56" s="137">
        <v>12</v>
      </c>
      <c r="E56" s="112"/>
      <c r="F56" s="110">
        <f t="shared" si="2"/>
        <v>0</v>
      </c>
      <c r="G56" s="112"/>
      <c r="H56" s="111"/>
      <c r="I56" s="111"/>
      <c r="J56" s="237">
        <f t="shared" si="1"/>
        <v>0</v>
      </c>
    </row>
    <row r="57" spans="1:10" s="138" customFormat="1" ht="15" customHeight="1" hidden="1" outlineLevel="3">
      <c r="A57" s="136" t="s">
        <v>394</v>
      </c>
      <c r="B57" s="137" t="s">
        <v>389</v>
      </c>
      <c r="C57" s="137">
        <v>440</v>
      </c>
      <c r="D57" s="137">
        <v>12</v>
      </c>
      <c r="E57" s="112"/>
      <c r="F57" s="110">
        <f t="shared" si="2"/>
        <v>0</v>
      </c>
      <c r="G57" s="112"/>
      <c r="H57" s="111"/>
      <c r="I57" s="111"/>
      <c r="J57" s="237">
        <f t="shared" si="1"/>
        <v>0</v>
      </c>
    </row>
    <row r="58" spans="1:10" s="138" customFormat="1" ht="15" customHeight="1" hidden="1" outlineLevel="3">
      <c r="A58" s="136" t="s">
        <v>395</v>
      </c>
      <c r="B58" s="137" t="s">
        <v>389</v>
      </c>
      <c r="C58" s="137">
        <v>370</v>
      </c>
      <c r="D58" s="137">
        <v>12</v>
      </c>
      <c r="E58" s="112"/>
      <c r="F58" s="110">
        <f t="shared" si="2"/>
        <v>0</v>
      </c>
      <c r="G58" s="112"/>
      <c r="H58" s="111"/>
      <c r="I58" s="111"/>
      <c r="J58" s="237">
        <f t="shared" si="1"/>
        <v>0</v>
      </c>
    </row>
    <row r="59" spans="1:10" s="138" customFormat="1" ht="15" customHeight="1" hidden="1" outlineLevel="3">
      <c r="A59" s="136" t="s">
        <v>396</v>
      </c>
      <c r="B59" s="137" t="s">
        <v>389</v>
      </c>
      <c r="C59" s="137">
        <v>360</v>
      </c>
      <c r="D59" s="137">
        <v>12</v>
      </c>
      <c r="E59" s="112"/>
      <c r="F59" s="110">
        <f t="shared" si="2"/>
        <v>0</v>
      </c>
      <c r="G59" s="112"/>
      <c r="H59" s="111"/>
      <c r="I59" s="111"/>
      <c r="J59" s="237">
        <f t="shared" si="1"/>
        <v>0</v>
      </c>
    </row>
    <row r="60" spans="1:10" s="138" customFormat="1" ht="15" customHeight="1" hidden="1" outlineLevel="3">
      <c r="A60" s="136" t="s">
        <v>397</v>
      </c>
      <c r="B60" s="137" t="s">
        <v>389</v>
      </c>
      <c r="C60" s="137">
        <v>350</v>
      </c>
      <c r="D60" s="137">
        <v>12</v>
      </c>
      <c r="E60" s="112"/>
      <c r="F60" s="110">
        <f t="shared" si="2"/>
        <v>0</v>
      </c>
      <c r="G60" s="112"/>
      <c r="H60" s="111"/>
      <c r="I60" s="111"/>
      <c r="J60" s="237">
        <f t="shared" si="1"/>
        <v>0</v>
      </c>
    </row>
    <row r="61" spans="1:10" s="138" customFormat="1" ht="15" customHeight="1" hidden="1" outlineLevel="3">
      <c r="A61" s="136" t="s">
        <v>398</v>
      </c>
      <c r="B61" s="137" t="s">
        <v>389</v>
      </c>
      <c r="C61" s="137">
        <v>490</v>
      </c>
      <c r="D61" s="137">
        <v>12</v>
      </c>
      <c r="E61" s="112"/>
      <c r="F61" s="110">
        <f t="shared" si="2"/>
        <v>0</v>
      </c>
      <c r="G61" s="112"/>
      <c r="H61" s="111"/>
      <c r="I61" s="111"/>
      <c r="J61" s="237">
        <f t="shared" si="1"/>
        <v>0</v>
      </c>
    </row>
    <row r="62" spans="1:10" s="138" customFormat="1" ht="15" customHeight="1" hidden="1" outlineLevel="3">
      <c r="A62" s="136" t="s">
        <v>399</v>
      </c>
      <c r="B62" s="137" t="s">
        <v>389</v>
      </c>
      <c r="C62" s="137">
        <v>470</v>
      </c>
      <c r="D62" s="137">
        <v>12</v>
      </c>
      <c r="E62" s="112"/>
      <c r="F62" s="110">
        <f t="shared" si="2"/>
        <v>0</v>
      </c>
      <c r="G62" s="112"/>
      <c r="H62" s="111"/>
      <c r="I62" s="111"/>
      <c r="J62" s="237">
        <f t="shared" si="1"/>
        <v>0</v>
      </c>
    </row>
    <row r="63" spans="1:10" s="138" customFormat="1" ht="15" customHeight="1" hidden="1" outlineLevel="3">
      <c r="A63" s="136" t="s">
        <v>400</v>
      </c>
      <c r="B63" s="137" t="s">
        <v>389</v>
      </c>
      <c r="C63" s="137">
        <v>450</v>
      </c>
      <c r="D63" s="137">
        <v>12</v>
      </c>
      <c r="E63" s="112"/>
      <c r="F63" s="110">
        <f t="shared" si="2"/>
        <v>0</v>
      </c>
      <c r="G63" s="112"/>
      <c r="H63" s="111"/>
      <c r="I63" s="111"/>
      <c r="J63" s="237">
        <f t="shared" si="1"/>
        <v>0</v>
      </c>
    </row>
    <row r="64" spans="1:10" s="138" customFormat="1" ht="15" customHeight="1" hidden="1" outlineLevel="3">
      <c r="A64" s="136" t="s">
        <v>401</v>
      </c>
      <c r="B64" s="137" t="s">
        <v>389</v>
      </c>
      <c r="C64" s="137">
        <v>540</v>
      </c>
      <c r="D64" s="137">
        <v>12</v>
      </c>
      <c r="E64" s="112"/>
      <c r="F64" s="110">
        <f t="shared" si="2"/>
        <v>0</v>
      </c>
      <c r="G64" s="112"/>
      <c r="H64" s="111"/>
      <c r="I64" s="111"/>
      <c r="J64" s="237">
        <f t="shared" si="1"/>
        <v>0</v>
      </c>
    </row>
    <row r="65" spans="1:10" s="138" customFormat="1" ht="15" customHeight="1" hidden="1" outlineLevel="3">
      <c r="A65" s="136" t="s">
        <v>402</v>
      </c>
      <c r="B65" s="137" t="s">
        <v>389</v>
      </c>
      <c r="C65" s="137">
        <v>530</v>
      </c>
      <c r="D65" s="137">
        <v>12</v>
      </c>
      <c r="E65" s="112"/>
      <c r="F65" s="110">
        <f t="shared" si="2"/>
        <v>0</v>
      </c>
      <c r="G65" s="112"/>
      <c r="H65" s="111"/>
      <c r="I65" s="111"/>
      <c r="J65" s="237">
        <f t="shared" si="1"/>
        <v>0</v>
      </c>
    </row>
    <row r="66" spans="1:10" s="138" customFormat="1" ht="15" customHeight="1" hidden="1" outlineLevel="3">
      <c r="A66" s="136" t="s">
        <v>403</v>
      </c>
      <c r="B66" s="137" t="s">
        <v>389</v>
      </c>
      <c r="C66" s="137">
        <v>510</v>
      </c>
      <c r="D66" s="137">
        <v>12</v>
      </c>
      <c r="E66" s="112"/>
      <c r="F66" s="110">
        <f t="shared" si="2"/>
        <v>0</v>
      </c>
      <c r="G66" s="112"/>
      <c r="H66" s="111"/>
      <c r="I66" s="111"/>
      <c r="J66" s="237">
        <f t="shared" si="1"/>
        <v>0</v>
      </c>
    </row>
    <row r="67" spans="1:10" s="138" customFormat="1" ht="15" customHeight="1" hidden="1" outlineLevel="3">
      <c r="A67" s="136" t="s">
        <v>404</v>
      </c>
      <c r="B67" s="137" t="s">
        <v>389</v>
      </c>
      <c r="C67" s="137">
        <v>480</v>
      </c>
      <c r="D67" s="137">
        <v>12</v>
      </c>
      <c r="E67" s="112"/>
      <c r="F67" s="110">
        <f t="shared" si="2"/>
        <v>0</v>
      </c>
      <c r="G67" s="112"/>
      <c r="H67" s="111"/>
      <c r="I67" s="111"/>
      <c r="J67" s="237">
        <f t="shared" si="1"/>
        <v>0</v>
      </c>
    </row>
    <row r="68" spans="1:10" s="138" customFormat="1" ht="15" customHeight="1" hidden="1" outlineLevel="3">
      <c r="A68" s="136" t="s">
        <v>405</v>
      </c>
      <c r="B68" s="137" t="s">
        <v>389</v>
      </c>
      <c r="C68" s="137">
        <v>470</v>
      </c>
      <c r="D68" s="137">
        <v>12</v>
      </c>
      <c r="E68" s="112"/>
      <c r="F68" s="110">
        <f t="shared" si="2"/>
        <v>0</v>
      </c>
      <c r="G68" s="112"/>
      <c r="H68" s="111"/>
      <c r="I68" s="111"/>
      <c r="J68" s="237">
        <f aca="true" t="shared" si="3" ref="J68:J131">I68/$E$9</f>
        <v>0</v>
      </c>
    </row>
    <row r="69" spans="1:10" s="138" customFormat="1" ht="15" customHeight="1" hidden="1" outlineLevel="3">
      <c r="A69" s="136" t="s">
        <v>406</v>
      </c>
      <c r="B69" s="137" t="s">
        <v>389</v>
      </c>
      <c r="C69" s="137">
        <v>440</v>
      </c>
      <c r="D69" s="137">
        <v>12</v>
      </c>
      <c r="E69" s="112"/>
      <c r="F69" s="110">
        <f t="shared" si="2"/>
        <v>0</v>
      </c>
      <c r="G69" s="112"/>
      <c r="H69" s="111"/>
      <c r="I69" s="111"/>
      <c r="J69" s="237">
        <f t="shared" si="3"/>
        <v>0</v>
      </c>
    </row>
    <row r="70" spans="1:10" s="138" customFormat="1" ht="15" customHeight="1" hidden="1" outlineLevel="3">
      <c r="A70" s="136" t="s">
        <v>407</v>
      </c>
      <c r="B70" s="137" t="s">
        <v>389</v>
      </c>
      <c r="C70" s="137">
        <v>510</v>
      </c>
      <c r="D70" s="137">
        <v>12</v>
      </c>
      <c r="E70" s="112"/>
      <c r="F70" s="110">
        <f t="shared" si="2"/>
        <v>0</v>
      </c>
      <c r="G70" s="112"/>
      <c r="H70" s="111"/>
      <c r="I70" s="111"/>
      <c r="J70" s="237">
        <f t="shared" si="3"/>
        <v>0</v>
      </c>
    </row>
    <row r="71" spans="1:10" s="138" customFormat="1" ht="15" customHeight="1" hidden="1" outlineLevel="3">
      <c r="A71" s="136" t="s">
        <v>408</v>
      </c>
      <c r="B71" s="137" t="s">
        <v>389</v>
      </c>
      <c r="C71" s="137">
        <v>490</v>
      </c>
      <c r="D71" s="137">
        <v>12</v>
      </c>
      <c r="E71" s="112"/>
      <c r="F71" s="110">
        <f t="shared" si="2"/>
        <v>0</v>
      </c>
      <c r="G71" s="112"/>
      <c r="H71" s="111"/>
      <c r="I71" s="111"/>
      <c r="J71" s="237">
        <f t="shared" si="3"/>
        <v>0</v>
      </c>
    </row>
    <row r="72" spans="1:10" s="138" customFormat="1" ht="15" customHeight="1" hidden="1" outlineLevel="3">
      <c r="A72" s="136" t="s">
        <v>409</v>
      </c>
      <c r="B72" s="137" t="s">
        <v>389</v>
      </c>
      <c r="C72" s="137">
        <v>470</v>
      </c>
      <c r="D72" s="137">
        <v>12</v>
      </c>
      <c r="E72" s="112"/>
      <c r="F72" s="110">
        <f t="shared" si="2"/>
        <v>0</v>
      </c>
      <c r="G72" s="112"/>
      <c r="H72" s="111"/>
      <c r="I72" s="111"/>
      <c r="J72" s="237">
        <f t="shared" si="3"/>
        <v>0</v>
      </c>
    </row>
    <row r="73" spans="1:10" s="138" customFormat="1" ht="15" customHeight="1" hidden="1" outlineLevel="3">
      <c r="A73" s="136" t="s">
        <v>410</v>
      </c>
      <c r="B73" s="137" t="s">
        <v>389</v>
      </c>
      <c r="C73" s="137">
        <v>540</v>
      </c>
      <c r="D73" s="137">
        <v>12</v>
      </c>
      <c r="E73" s="112"/>
      <c r="F73" s="110">
        <f t="shared" si="2"/>
        <v>0</v>
      </c>
      <c r="G73" s="112"/>
      <c r="H73" s="111"/>
      <c r="I73" s="111"/>
      <c r="J73" s="237">
        <f t="shared" si="3"/>
        <v>0</v>
      </c>
    </row>
    <row r="74" spans="1:10" s="138" customFormat="1" ht="15" customHeight="1" hidden="1" outlineLevel="3">
      <c r="A74" s="136" t="s">
        <v>411</v>
      </c>
      <c r="B74" s="137" t="s">
        <v>389</v>
      </c>
      <c r="C74" s="137">
        <v>530</v>
      </c>
      <c r="D74" s="137">
        <v>12</v>
      </c>
      <c r="E74" s="112"/>
      <c r="F74" s="110">
        <f t="shared" si="2"/>
        <v>0</v>
      </c>
      <c r="G74" s="112"/>
      <c r="H74" s="111"/>
      <c r="I74" s="111"/>
      <c r="J74" s="237">
        <f t="shared" si="3"/>
        <v>0</v>
      </c>
    </row>
    <row r="75" spans="1:10" s="138" customFormat="1" ht="15" customHeight="1" hidden="1" outlineLevel="3">
      <c r="A75" s="136" t="s">
        <v>412</v>
      </c>
      <c r="B75" s="137" t="s">
        <v>389</v>
      </c>
      <c r="C75" s="137">
        <v>510</v>
      </c>
      <c r="D75" s="137">
        <v>12</v>
      </c>
      <c r="E75" s="112"/>
      <c r="F75" s="110">
        <f t="shared" si="2"/>
        <v>0</v>
      </c>
      <c r="G75" s="112"/>
      <c r="H75" s="111"/>
      <c r="I75" s="111"/>
      <c r="J75" s="237">
        <f t="shared" si="3"/>
        <v>0</v>
      </c>
    </row>
    <row r="76" spans="1:10" s="138" customFormat="1" ht="15" customHeight="1" hidden="1" outlineLevel="3">
      <c r="A76" s="136" t="s">
        <v>413</v>
      </c>
      <c r="B76" s="137" t="s">
        <v>389</v>
      </c>
      <c r="C76" s="137">
        <v>470</v>
      </c>
      <c r="D76" s="137">
        <v>12</v>
      </c>
      <c r="E76" s="112"/>
      <c r="F76" s="110">
        <f t="shared" si="2"/>
        <v>0</v>
      </c>
      <c r="G76" s="112"/>
      <c r="H76" s="111"/>
      <c r="I76" s="111"/>
      <c r="J76" s="237">
        <f t="shared" si="3"/>
        <v>0</v>
      </c>
    </row>
    <row r="77" spans="1:10" s="138" customFormat="1" ht="15" customHeight="1" hidden="1" outlineLevel="3">
      <c r="A77" s="136" t="s">
        <v>414</v>
      </c>
      <c r="B77" s="137" t="s">
        <v>389</v>
      </c>
      <c r="C77" s="137">
        <v>460</v>
      </c>
      <c r="D77" s="137">
        <v>12</v>
      </c>
      <c r="E77" s="112"/>
      <c r="F77" s="110">
        <f t="shared" si="2"/>
        <v>0</v>
      </c>
      <c r="G77" s="112"/>
      <c r="H77" s="111"/>
      <c r="I77" s="111"/>
      <c r="J77" s="237">
        <f t="shared" si="3"/>
        <v>0</v>
      </c>
    </row>
    <row r="78" spans="1:10" s="138" customFormat="1" ht="15" customHeight="1" hidden="1" outlineLevel="3">
      <c r="A78" s="136" t="s">
        <v>415</v>
      </c>
      <c r="B78" s="137" t="s">
        <v>389</v>
      </c>
      <c r="C78" s="137">
        <v>450</v>
      </c>
      <c r="D78" s="137">
        <v>12</v>
      </c>
      <c r="E78" s="112"/>
      <c r="F78" s="110">
        <f t="shared" si="2"/>
        <v>0</v>
      </c>
      <c r="G78" s="112"/>
      <c r="H78" s="111"/>
      <c r="I78" s="111"/>
      <c r="J78" s="237">
        <f t="shared" si="3"/>
        <v>0</v>
      </c>
    </row>
    <row r="79" spans="1:10" s="138" customFormat="1" ht="15" customHeight="1" hidden="1" outlineLevel="3">
      <c r="A79" s="136" t="s">
        <v>416</v>
      </c>
      <c r="B79" s="137" t="s">
        <v>389</v>
      </c>
      <c r="C79" s="137">
        <v>560</v>
      </c>
      <c r="D79" s="137">
        <v>12</v>
      </c>
      <c r="E79" s="112"/>
      <c r="F79" s="110">
        <f t="shared" si="2"/>
        <v>0</v>
      </c>
      <c r="G79" s="112"/>
      <c r="H79" s="111"/>
      <c r="I79" s="111"/>
      <c r="J79" s="237">
        <f t="shared" si="3"/>
        <v>0</v>
      </c>
    </row>
    <row r="80" spans="1:10" s="138" customFormat="1" ht="15" customHeight="1" hidden="1" outlineLevel="3">
      <c r="A80" s="136" t="s">
        <v>417</v>
      </c>
      <c r="B80" s="137" t="s">
        <v>389</v>
      </c>
      <c r="C80" s="137">
        <v>540</v>
      </c>
      <c r="D80" s="137">
        <v>12</v>
      </c>
      <c r="E80" s="112"/>
      <c r="F80" s="110">
        <f t="shared" si="2"/>
        <v>0</v>
      </c>
      <c r="G80" s="112"/>
      <c r="H80" s="111"/>
      <c r="I80" s="111"/>
      <c r="J80" s="237">
        <f t="shared" si="3"/>
        <v>0</v>
      </c>
    </row>
    <row r="81" spans="1:10" s="138" customFormat="1" ht="15" customHeight="1" hidden="1" outlineLevel="3">
      <c r="A81" s="136" t="s">
        <v>418</v>
      </c>
      <c r="B81" s="137" t="s">
        <v>389</v>
      </c>
      <c r="C81" s="137">
        <v>520</v>
      </c>
      <c r="D81" s="137">
        <v>12</v>
      </c>
      <c r="E81" s="112"/>
      <c r="F81" s="110">
        <f t="shared" si="2"/>
        <v>0</v>
      </c>
      <c r="G81" s="112"/>
      <c r="H81" s="111"/>
      <c r="I81" s="111"/>
      <c r="J81" s="237">
        <f t="shared" si="3"/>
        <v>0</v>
      </c>
    </row>
    <row r="82" spans="1:10" s="138" customFormat="1" ht="15" customHeight="1" hidden="1" outlineLevel="3">
      <c r="A82" s="136" t="s">
        <v>419</v>
      </c>
      <c r="B82" s="137" t="s">
        <v>389</v>
      </c>
      <c r="C82" s="137">
        <v>580</v>
      </c>
      <c r="D82" s="137">
        <v>12</v>
      </c>
      <c r="E82" s="112"/>
      <c r="F82" s="110">
        <f t="shared" si="2"/>
        <v>0</v>
      </c>
      <c r="G82" s="112"/>
      <c r="H82" s="111"/>
      <c r="I82" s="111"/>
      <c r="J82" s="237">
        <f t="shared" si="3"/>
        <v>0</v>
      </c>
    </row>
    <row r="83" spans="1:10" s="138" customFormat="1" ht="15" customHeight="1" hidden="1" outlineLevel="3">
      <c r="A83" s="136" t="s">
        <v>420</v>
      </c>
      <c r="B83" s="137" t="s">
        <v>389</v>
      </c>
      <c r="C83" s="137">
        <v>580</v>
      </c>
      <c r="D83" s="137">
        <v>12</v>
      </c>
      <c r="E83" s="112"/>
      <c r="F83" s="110">
        <f t="shared" si="2"/>
        <v>0</v>
      </c>
      <c r="G83" s="112"/>
      <c r="H83" s="111"/>
      <c r="I83" s="111"/>
      <c r="J83" s="237">
        <f t="shared" si="3"/>
        <v>0</v>
      </c>
    </row>
    <row r="84" spans="1:10" s="138" customFormat="1" ht="15" customHeight="1" hidden="1" outlineLevel="3">
      <c r="A84" s="136" t="s">
        <v>421</v>
      </c>
      <c r="B84" s="137" t="s">
        <v>389</v>
      </c>
      <c r="C84" s="137">
        <v>560</v>
      </c>
      <c r="D84" s="137">
        <v>12</v>
      </c>
      <c r="E84" s="112"/>
      <c r="F84" s="110">
        <f t="shared" si="2"/>
        <v>0</v>
      </c>
      <c r="G84" s="112"/>
      <c r="H84" s="111"/>
      <c r="I84" s="111"/>
      <c r="J84" s="237">
        <f t="shared" si="3"/>
        <v>0</v>
      </c>
    </row>
    <row r="85" spans="1:10" s="138" customFormat="1" ht="15" customHeight="1" hidden="1" outlineLevel="3">
      <c r="A85" s="136" t="s">
        <v>422</v>
      </c>
      <c r="B85" s="137" t="s">
        <v>389</v>
      </c>
      <c r="C85" s="137">
        <v>510</v>
      </c>
      <c r="D85" s="137">
        <v>12</v>
      </c>
      <c r="E85" s="112"/>
      <c r="F85" s="110">
        <f t="shared" si="2"/>
        <v>0</v>
      </c>
      <c r="G85" s="112"/>
      <c r="H85" s="111"/>
      <c r="I85" s="111"/>
      <c r="J85" s="237">
        <f t="shared" si="3"/>
        <v>0</v>
      </c>
    </row>
    <row r="86" spans="1:10" s="138" customFormat="1" ht="15" customHeight="1" hidden="1" outlineLevel="3">
      <c r="A86" s="136" t="s">
        <v>423</v>
      </c>
      <c r="B86" s="137" t="s">
        <v>389</v>
      </c>
      <c r="C86" s="137">
        <v>510</v>
      </c>
      <c r="D86" s="137">
        <v>12</v>
      </c>
      <c r="E86" s="112"/>
      <c r="F86" s="110">
        <f t="shared" si="2"/>
        <v>0</v>
      </c>
      <c r="G86" s="112"/>
      <c r="H86" s="111"/>
      <c r="I86" s="111"/>
      <c r="J86" s="237">
        <f t="shared" si="3"/>
        <v>0</v>
      </c>
    </row>
    <row r="87" spans="1:10" s="138" customFormat="1" ht="15" customHeight="1" hidden="1" outlineLevel="3">
      <c r="A87" s="136" t="s">
        <v>424</v>
      </c>
      <c r="B87" s="137" t="s">
        <v>389</v>
      </c>
      <c r="C87" s="137">
        <v>490</v>
      </c>
      <c r="D87" s="137">
        <v>12</v>
      </c>
      <c r="E87" s="112"/>
      <c r="F87" s="110">
        <f t="shared" si="2"/>
        <v>0</v>
      </c>
      <c r="G87" s="112"/>
      <c r="H87" s="111"/>
      <c r="I87" s="111"/>
      <c r="J87" s="237">
        <f t="shared" si="3"/>
        <v>0</v>
      </c>
    </row>
    <row r="88" spans="1:10" s="138" customFormat="1" ht="15" customHeight="1" hidden="1" outlineLevel="3">
      <c r="A88" s="136" t="s">
        <v>425</v>
      </c>
      <c r="B88" s="137" t="s">
        <v>389</v>
      </c>
      <c r="C88" s="137">
        <v>610</v>
      </c>
      <c r="D88" s="137">
        <v>12</v>
      </c>
      <c r="E88" s="112"/>
      <c r="F88" s="110">
        <f t="shared" si="2"/>
        <v>0</v>
      </c>
      <c r="G88" s="112"/>
      <c r="H88" s="111"/>
      <c r="I88" s="111"/>
      <c r="J88" s="237">
        <f t="shared" si="3"/>
        <v>0</v>
      </c>
    </row>
    <row r="89" spans="1:10" s="138" customFormat="1" ht="15" customHeight="1" hidden="1" outlineLevel="3">
      <c r="A89" s="136" t="s">
        <v>426</v>
      </c>
      <c r="B89" s="137" t="s">
        <v>389</v>
      </c>
      <c r="C89" s="137">
        <v>490</v>
      </c>
      <c r="D89" s="137">
        <v>12</v>
      </c>
      <c r="E89" s="112"/>
      <c r="F89" s="110">
        <f t="shared" si="2"/>
        <v>0</v>
      </c>
      <c r="G89" s="112"/>
      <c r="H89" s="111"/>
      <c r="I89" s="111"/>
      <c r="J89" s="237">
        <f t="shared" si="3"/>
        <v>0</v>
      </c>
    </row>
    <row r="90" spans="1:10" s="138" customFormat="1" ht="15" customHeight="1" hidden="1" outlineLevel="3">
      <c r="A90" s="136" t="s">
        <v>427</v>
      </c>
      <c r="B90" s="137" t="s">
        <v>389</v>
      </c>
      <c r="C90" s="137">
        <v>470</v>
      </c>
      <c r="D90" s="137">
        <v>12</v>
      </c>
      <c r="E90" s="112"/>
      <c r="F90" s="110">
        <f t="shared" si="2"/>
        <v>0</v>
      </c>
      <c r="G90" s="112"/>
      <c r="H90" s="111"/>
      <c r="I90" s="111"/>
      <c r="J90" s="237">
        <f t="shared" si="3"/>
        <v>0</v>
      </c>
    </row>
    <row r="91" spans="1:10" s="138" customFormat="1" ht="15" customHeight="1" hidden="1" outlineLevel="3">
      <c r="A91" s="136" t="s">
        <v>428</v>
      </c>
      <c r="B91" s="137" t="s">
        <v>389</v>
      </c>
      <c r="C91" s="137">
        <v>640</v>
      </c>
      <c r="D91" s="137">
        <v>12</v>
      </c>
      <c r="E91" s="112"/>
      <c r="F91" s="110">
        <f t="shared" si="2"/>
        <v>0</v>
      </c>
      <c r="G91" s="112"/>
      <c r="H91" s="111"/>
      <c r="I91" s="111"/>
      <c r="J91" s="237">
        <f t="shared" si="3"/>
        <v>0</v>
      </c>
    </row>
    <row r="92" spans="1:10" s="138" customFormat="1" ht="15" customHeight="1" hidden="1" outlineLevel="3">
      <c r="A92" s="136" t="s">
        <v>429</v>
      </c>
      <c r="B92" s="137" t="s">
        <v>389</v>
      </c>
      <c r="C92" s="137">
        <v>630</v>
      </c>
      <c r="D92" s="137">
        <v>12</v>
      </c>
      <c r="E92" s="112"/>
      <c r="F92" s="110">
        <f t="shared" si="2"/>
        <v>0</v>
      </c>
      <c r="G92" s="112"/>
      <c r="H92" s="111"/>
      <c r="I92" s="111"/>
      <c r="J92" s="237">
        <f t="shared" si="3"/>
        <v>0</v>
      </c>
    </row>
    <row r="93" spans="1:10" s="138" customFormat="1" ht="15" customHeight="1" hidden="1" outlineLevel="3">
      <c r="A93" s="136" t="s">
        <v>430</v>
      </c>
      <c r="B93" s="137" t="s">
        <v>389</v>
      </c>
      <c r="C93" s="137">
        <v>610</v>
      </c>
      <c r="D93" s="137">
        <v>12</v>
      </c>
      <c r="E93" s="112"/>
      <c r="F93" s="110">
        <f t="shared" si="2"/>
        <v>0</v>
      </c>
      <c r="G93" s="112"/>
      <c r="H93" s="111"/>
      <c r="I93" s="111"/>
      <c r="J93" s="237">
        <f t="shared" si="3"/>
        <v>0</v>
      </c>
    </row>
    <row r="94" spans="1:10" s="138" customFormat="1" ht="15" customHeight="1" hidden="1" outlineLevel="3">
      <c r="A94" s="136" t="s">
        <v>431</v>
      </c>
      <c r="B94" s="137" t="s">
        <v>389</v>
      </c>
      <c r="C94" s="137">
        <v>570</v>
      </c>
      <c r="D94" s="137">
        <v>12</v>
      </c>
      <c r="E94" s="112"/>
      <c r="F94" s="110">
        <f t="shared" si="2"/>
        <v>0</v>
      </c>
      <c r="G94" s="112"/>
      <c r="H94" s="111"/>
      <c r="I94" s="111"/>
      <c r="J94" s="237">
        <f t="shared" si="3"/>
        <v>0</v>
      </c>
    </row>
    <row r="95" spans="1:10" s="138" customFormat="1" ht="15" customHeight="1" hidden="1" outlineLevel="3">
      <c r="A95" s="136" t="s">
        <v>432</v>
      </c>
      <c r="B95" s="137" t="s">
        <v>389</v>
      </c>
      <c r="C95" s="137">
        <v>560</v>
      </c>
      <c r="D95" s="137">
        <v>12</v>
      </c>
      <c r="E95" s="112"/>
      <c r="F95" s="110">
        <f t="shared" si="2"/>
        <v>0</v>
      </c>
      <c r="G95" s="112"/>
      <c r="H95" s="111"/>
      <c r="I95" s="111"/>
      <c r="J95" s="237">
        <f t="shared" si="3"/>
        <v>0</v>
      </c>
    </row>
    <row r="96" spans="1:10" s="138" customFormat="1" ht="15" customHeight="1" hidden="1" outlineLevel="3">
      <c r="A96" s="136" t="s">
        <v>433</v>
      </c>
      <c r="B96" s="137" t="s">
        <v>389</v>
      </c>
      <c r="C96" s="137">
        <v>540</v>
      </c>
      <c r="D96" s="137">
        <v>12</v>
      </c>
      <c r="E96" s="112"/>
      <c r="F96" s="110">
        <f t="shared" si="2"/>
        <v>0</v>
      </c>
      <c r="G96" s="112"/>
      <c r="H96" s="111"/>
      <c r="I96" s="111"/>
      <c r="J96" s="237">
        <f t="shared" si="3"/>
        <v>0</v>
      </c>
    </row>
    <row r="97" spans="1:10" s="138" customFormat="1" ht="15" customHeight="1" hidden="1" outlineLevel="3">
      <c r="A97" s="136" t="s">
        <v>434</v>
      </c>
      <c r="B97" s="137" t="s">
        <v>389</v>
      </c>
      <c r="C97" s="137">
        <v>460</v>
      </c>
      <c r="D97" s="137">
        <v>12</v>
      </c>
      <c r="E97" s="112"/>
      <c r="F97" s="110">
        <f t="shared" si="2"/>
        <v>0</v>
      </c>
      <c r="G97" s="112"/>
      <c r="H97" s="111"/>
      <c r="I97" s="111"/>
      <c r="J97" s="237">
        <f t="shared" si="3"/>
        <v>0</v>
      </c>
    </row>
    <row r="98" spans="1:10" s="138" customFormat="1" ht="15" customHeight="1" hidden="1" outlineLevel="3">
      <c r="A98" s="136" t="s">
        <v>435</v>
      </c>
      <c r="B98" s="137" t="s">
        <v>389</v>
      </c>
      <c r="C98" s="137">
        <v>440</v>
      </c>
      <c r="D98" s="137">
        <v>12</v>
      </c>
      <c r="E98" s="112"/>
      <c r="F98" s="110">
        <f t="shared" si="2"/>
        <v>0</v>
      </c>
      <c r="G98" s="112"/>
      <c r="H98" s="111"/>
      <c r="I98" s="111"/>
      <c r="J98" s="237">
        <f t="shared" si="3"/>
        <v>0</v>
      </c>
    </row>
    <row r="99" spans="1:10" s="138" customFormat="1" ht="15" customHeight="1" hidden="1" outlineLevel="3">
      <c r="A99" s="136" t="s">
        <v>436</v>
      </c>
      <c r="B99" s="137" t="s">
        <v>389</v>
      </c>
      <c r="C99" s="137">
        <v>430</v>
      </c>
      <c r="D99" s="137">
        <v>12</v>
      </c>
      <c r="E99" s="112"/>
      <c r="F99" s="110">
        <f t="shared" si="2"/>
        <v>0</v>
      </c>
      <c r="G99" s="112"/>
      <c r="H99" s="111"/>
      <c r="I99" s="111"/>
      <c r="J99" s="237">
        <f t="shared" si="3"/>
        <v>0</v>
      </c>
    </row>
    <row r="100" spans="1:10" s="138" customFormat="1" ht="15" customHeight="1" hidden="1" outlineLevel="3">
      <c r="A100" s="136" t="s">
        <v>437</v>
      </c>
      <c r="B100" s="137" t="s">
        <v>389</v>
      </c>
      <c r="C100" s="112">
        <v>480</v>
      </c>
      <c r="D100" s="137">
        <v>12</v>
      </c>
      <c r="E100" s="112"/>
      <c r="F100" s="110">
        <f t="shared" si="2"/>
        <v>0</v>
      </c>
      <c r="G100" s="112"/>
      <c r="H100" s="111"/>
      <c r="I100" s="111"/>
      <c r="J100" s="237">
        <f t="shared" si="3"/>
        <v>0</v>
      </c>
    </row>
    <row r="101" spans="1:10" s="138" customFormat="1" ht="15" customHeight="1" hidden="1" outlineLevel="3">
      <c r="A101" s="136" t="s">
        <v>438</v>
      </c>
      <c r="B101" s="137" t="s">
        <v>389</v>
      </c>
      <c r="C101" s="112">
        <v>470</v>
      </c>
      <c r="D101" s="137">
        <v>12</v>
      </c>
      <c r="E101" s="112"/>
      <c r="F101" s="110">
        <f t="shared" si="2"/>
        <v>0</v>
      </c>
      <c r="G101" s="112"/>
      <c r="H101" s="111"/>
      <c r="I101" s="111"/>
      <c r="J101" s="237">
        <f t="shared" si="3"/>
        <v>0</v>
      </c>
    </row>
    <row r="102" spans="1:10" s="138" customFormat="1" ht="15" customHeight="1" hidden="1" outlineLevel="3">
      <c r="A102" s="136" t="s">
        <v>439</v>
      </c>
      <c r="B102" s="137" t="s">
        <v>389</v>
      </c>
      <c r="C102" s="112">
        <v>460</v>
      </c>
      <c r="D102" s="137">
        <v>12</v>
      </c>
      <c r="E102" s="112"/>
      <c r="F102" s="110">
        <f t="shared" si="2"/>
        <v>0</v>
      </c>
      <c r="G102" s="112"/>
      <c r="H102" s="111"/>
      <c r="I102" s="111"/>
      <c r="J102" s="237">
        <f t="shared" si="3"/>
        <v>0</v>
      </c>
    </row>
    <row r="103" spans="1:10" s="138" customFormat="1" ht="15" customHeight="1" hidden="1" outlineLevel="3">
      <c r="A103" s="136" t="s">
        <v>440</v>
      </c>
      <c r="B103" s="137" t="s">
        <v>389</v>
      </c>
      <c r="C103" s="112">
        <v>380</v>
      </c>
      <c r="D103" s="137">
        <v>12</v>
      </c>
      <c r="E103" s="112"/>
      <c r="F103" s="110">
        <f t="shared" si="2"/>
        <v>0</v>
      </c>
      <c r="G103" s="112"/>
      <c r="H103" s="111"/>
      <c r="I103" s="111"/>
      <c r="J103" s="237">
        <f t="shared" si="3"/>
        <v>0</v>
      </c>
    </row>
    <row r="104" spans="1:10" s="138" customFormat="1" ht="15" customHeight="1" hidden="1" outlineLevel="3">
      <c r="A104" s="136" t="s">
        <v>441</v>
      </c>
      <c r="B104" s="137" t="s">
        <v>389</v>
      </c>
      <c r="C104" s="112">
        <v>370</v>
      </c>
      <c r="D104" s="137">
        <v>12</v>
      </c>
      <c r="E104" s="112"/>
      <c r="F104" s="110">
        <f t="shared" si="2"/>
        <v>0</v>
      </c>
      <c r="G104" s="112"/>
      <c r="H104" s="111"/>
      <c r="I104" s="111"/>
      <c r="J104" s="237">
        <f t="shared" si="3"/>
        <v>0</v>
      </c>
    </row>
    <row r="105" spans="1:10" s="138" customFormat="1" ht="15" customHeight="1" hidden="1" outlineLevel="3">
      <c r="A105" s="136" t="s">
        <v>442</v>
      </c>
      <c r="B105" s="137" t="s">
        <v>389</v>
      </c>
      <c r="C105" s="112">
        <v>360</v>
      </c>
      <c r="D105" s="137">
        <v>12</v>
      </c>
      <c r="E105" s="112"/>
      <c r="F105" s="110">
        <f t="shared" si="2"/>
        <v>0</v>
      </c>
      <c r="G105" s="112"/>
      <c r="H105" s="111"/>
      <c r="I105" s="111"/>
      <c r="J105" s="237">
        <f t="shared" si="3"/>
        <v>0</v>
      </c>
    </row>
    <row r="106" spans="1:10" s="138" customFormat="1" ht="15" customHeight="1" hidden="1" outlineLevel="3">
      <c r="A106" s="136" t="s">
        <v>443</v>
      </c>
      <c r="B106" s="137" t="s">
        <v>389</v>
      </c>
      <c r="C106" s="112">
        <v>510</v>
      </c>
      <c r="D106" s="137">
        <v>12</v>
      </c>
      <c r="E106" s="112"/>
      <c r="F106" s="110">
        <f t="shared" si="2"/>
        <v>0</v>
      </c>
      <c r="G106" s="112"/>
      <c r="H106" s="111"/>
      <c r="I106" s="111"/>
      <c r="J106" s="237">
        <f t="shared" si="3"/>
        <v>0</v>
      </c>
    </row>
    <row r="107" spans="1:10" s="138" customFormat="1" ht="15" customHeight="1" hidden="1" outlineLevel="3">
      <c r="A107" s="136" t="s">
        <v>444</v>
      </c>
      <c r="B107" s="137" t="s">
        <v>389</v>
      </c>
      <c r="C107" s="112">
        <v>490</v>
      </c>
      <c r="D107" s="137">
        <v>12</v>
      </c>
      <c r="E107" s="112"/>
      <c r="F107" s="110">
        <f t="shared" si="2"/>
        <v>0</v>
      </c>
      <c r="G107" s="112"/>
      <c r="H107" s="111"/>
      <c r="I107" s="111"/>
      <c r="J107" s="237">
        <f t="shared" si="3"/>
        <v>0</v>
      </c>
    </row>
    <row r="108" spans="1:10" s="138" customFormat="1" ht="15" customHeight="1" hidden="1" outlineLevel="3">
      <c r="A108" s="136" t="s">
        <v>445</v>
      </c>
      <c r="B108" s="137" t="s">
        <v>389</v>
      </c>
      <c r="C108" s="112">
        <v>470</v>
      </c>
      <c r="D108" s="137">
        <v>12</v>
      </c>
      <c r="E108" s="112"/>
      <c r="F108" s="110">
        <f t="shared" si="2"/>
        <v>0</v>
      </c>
      <c r="G108" s="112"/>
      <c r="H108" s="111"/>
      <c r="I108" s="111"/>
      <c r="J108" s="237">
        <f t="shared" si="3"/>
        <v>0</v>
      </c>
    </row>
    <row r="109" spans="1:10" s="138" customFormat="1" ht="15" customHeight="1" hidden="1" outlineLevel="3">
      <c r="A109" s="136" t="s">
        <v>446</v>
      </c>
      <c r="B109" s="137" t="s">
        <v>389</v>
      </c>
      <c r="C109" s="112">
        <v>560</v>
      </c>
      <c r="D109" s="137">
        <v>12</v>
      </c>
      <c r="E109" s="112"/>
      <c r="F109" s="110">
        <f t="shared" si="2"/>
        <v>0</v>
      </c>
      <c r="G109" s="112"/>
      <c r="H109" s="111"/>
      <c r="I109" s="111"/>
      <c r="J109" s="237">
        <f t="shared" si="3"/>
        <v>0</v>
      </c>
    </row>
    <row r="110" spans="1:10" s="138" customFormat="1" ht="15" customHeight="1" hidden="1" outlineLevel="3">
      <c r="A110" s="136" t="s">
        <v>447</v>
      </c>
      <c r="B110" s="137" t="s">
        <v>389</v>
      </c>
      <c r="C110" s="112">
        <v>550</v>
      </c>
      <c r="D110" s="137">
        <v>12</v>
      </c>
      <c r="E110" s="112"/>
      <c r="F110" s="110">
        <f t="shared" si="2"/>
        <v>0</v>
      </c>
      <c r="G110" s="112"/>
      <c r="H110" s="111"/>
      <c r="I110" s="111"/>
      <c r="J110" s="237">
        <f t="shared" si="3"/>
        <v>0</v>
      </c>
    </row>
    <row r="111" spans="1:10" s="138" customFormat="1" ht="15" customHeight="1" hidden="1" outlineLevel="3">
      <c r="A111" s="136" t="s">
        <v>448</v>
      </c>
      <c r="B111" s="137" t="s">
        <v>389</v>
      </c>
      <c r="C111" s="112">
        <v>530</v>
      </c>
      <c r="D111" s="137">
        <v>12</v>
      </c>
      <c r="E111" s="112"/>
      <c r="F111" s="110">
        <f t="shared" si="2"/>
        <v>0</v>
      </c>
      <c r="G111" s="112"/>
      <c r="H111" s="111"/>
      <c r="I111" s="111"/>
      <c r="J111" s="237">
        <f t="shared" si="3"/>
        <v>0</v>
      </c>
    </row>
    <row r="112" spans="1:10" s="138" customFormat="1" ht="15" customHeight="1" hidden="1" outlineLevel="3">
      <c r="A112" s="136" t="s">
        <v>449</v>
      </c>
      <c r="B112" s="137" t="s">
        <v>389</v>
      </c>
      <c r="C112" s="112">
        <v>500</v>
      </c>
      <c r="D112" s="137">
        <v>12</v>
      </c>
      <c r="E112" s="112"/>
      <c r="F112" s="110">
        <f t="shared" si="2"/>
        <v>0</v>
      </c>
      <c r="G112" s="112"/>
      <c r="H112" s="111"/>
      <c r="I112" s="111"/>
      <c r="J112" s="237">
        <f t="shared" si="3"/>
        <v>0</v>
      </c>
    </row>
    <row r="113" spans="1:10" s="138" customFormat="1" ht="15" customHeight="1" hidden="1" outlineLevel="3">
      <c r="A113" s="136" t="s">
        <v>450</v>
      </c>
      <c r="B113" s="137" t="s">
        <v>389</v>
      </c>
      <c r="C113" s="112">
        <v>490</v>
      </c>
      <c r="D113" s="137">
        <v>12</v>
      </c>
      <c r="E113" s="112"/>
      <c r="F113" s="110">
        <f t="shared" si="2"/>
        <v>0</v>
      </c>
      <c r="G113" s="112"/>
      <c r="H113" s="111"/>
      <c r="I113" s="111"/>
      <c r="J113" s="237">
        <f t="shared" si="3"/>
        <v>0</v>
      </c>
    </row>
    <row r="114" spans="1:10" s="138" customFormat="1" ht="15" customHeight="1" hidden="1" outlineLevel="3">
      <c r="A114" s="136" t="s">
        <v>451</v>
      </c>
      <c r="B114" s="137" t="s">
        <v>389</v>
      </c>
      <c r="C114" s="112">
        <v>460</v>
      </c>
      <c r="D114" s="137">
        <v>12</v>
      </c>
      <c r="E114" s="112"/>
      <c r="F114" s="110">
        <f t="shared" si="2"/>
        <v>0</v>
      </c>
      <c r="G114" s="112"/>
      <c r="H114" s="111"/>
      <c r="I114" s="111"/>
      <c r="J114" s="237">
        <f t="shared" si="3"/>
        <v>0</v>
      </c>
    </row>
    <row r="115" spans="1:10" s="138" customFormat="1" ht="15" customHeight="1" hidden="1" outlineLevel="3">
      <c r="A115" s="136" t="s">
        <v>452</v>
      </c>
      <c r="B115" s="137" t="s">
        <v>389</v>
      </c>
      <c r="C115" s="112">
        <v>530</v>
      </c>
      <c r="D115" s="137">
        <v>12</v>
      </c>
      <c r="E115" s="112"/>
      <c r="F115" s="110">
        <f t="shared" si="2"/>
        <v>0</v>
      </c>
      <c r="G115" s="112"/>
      <c r="H115" s="111"/>
      <c r="I115" s="111"/>
      <c r="J115" s="237">
        <f t="shared" si="3"/>
        <v>0</v>
      </c>
    </row>
    <row r="116" spans="1:10" s="138" customFormat="1" ht="15" customHeight="1" hidden="1" outlineLevel="3">
      <c r="A116" s="136" t="s">
        <v>453</v>
      </c>
      <c r="B116" s="137" t="s">
        <v>389</v>
      </c>
      <c r="C116" s="112">
        <v>510</v>
      </c>
      <c r="D116" s="137">
        <v>12</v>
      </c>
      <c r="E116" s="112"/>
      <c r="F116" s="110">
        <f t="shared" si="2"/>
        <v>0</v>
      </c>
      <c r="G116" s="112"/>
      <c r="H116" s="111"/>
      <c r="I116" s="111"/>
      <c r="J116" s="237">
        <f t="shared" si="3"/>
        <v>0</v>
      </c>
    </row>
    <row r="117" spans="1:10" s="138" customFormat="1" ht="15" customHeight="1" hidden="1" outlineLevel="3">
      <c r="A117" s="136" t="s">
        <v>454</v>
      </c>
      <c r="B117" s="137" t="s">
        <v>389</v>
      </c>
      <c r="C117" s="112">
        <v>490</v>
      </c>
      <c r="D117" s="137">
        <v>12</v>
      </c>
      <c r="E117" s="112"/>
      <c r="F117" s="110">
        <f aca="true" t="shared" si="4" ref="F117:F141">E117/C117*D117</f>
        <v>0</v>
      </c>
      <c r="G117" s="112"/>
      <c r="H117" s="111"/>
      <c r="I117" s="111"/>
      <c r="J117" s="237">
        <f t="shared" si="3"/>
        <v>0</v>
      </c>
    </row>
    <row r="118" spans="1:10" s="138" customFormat="1" ht="15" customHeight="1" hidden="1" outlineLevel="3">
      <c r="A118" s="136" t="s">
        <v>455</v>
      </c>
      <c r="B118" s="137" t="s">
        <v>389</v>
      </c>
      <c r="C118" s="112">
        <v>560</v>
      </c>
      <c r="D118" s="137">
        <v>12</v>
      </c>
      <c r="E118" s="112"/>
      <c r="F118" s="110">
        <f t="shared" si="4"/>
        <v>0</v>
      </c>
      <c r="G118" s="112"/>
      <c r="H118" s="111"/>
      <c r="I118" s="111"/>
      <c r="J118" s="237">
        <f t="shared" si="3"/>
        <v>0</v>
      </c>
    </row>
    <row r="119" spans="1:10" s="138" customFormat="1" ht="15" customHeight="1" hidden="1" outlineLevel="3">
      <c r="A119" s="136" t="s">
        <v>456</v>
      </c>
      <c r="B119" s="137" t="s">
        <v>389</v>
      </c>
      <c r="C119" s="112">
        <v>550</v>
      </c>
      <c r="D119" s="137">
        <v>12</v>
      </c>
      <c r="E119" s="112"/>
      <c r="F119" s="110">
        <f t="shared" si="4"/>
        <v>0</v>
      </c>
      <c r="G119" s="112"/>
      <c r="H119" s="111"/>
      <c r="I119" s="111"/>
      <c r="J119" s="237">
        <f t="shared" si="3"/>
        <v>0</v>
      </c>
    </row>
    <row r="120" spans="1:10" s="138" customFormat="1" ht="15" customHeight="1" hidden="1" outlineLevel="3">
      <c r="A120" s="136" t="s">
        <v>457</v>
      </c>
      <c r="B120" s="137" t="s">
        <v>389</v>
      </c>
      <c r="C120" s="112">
        <v>530</v>
      </c>
      <c r="D120" s="137">
        <v>12</v>
      </c>
      <c r="E120" s="112"/>
      <c r="F120" s="110">
        <f t="shared" si="4"/>
        <v>0</v>
      </c>
      <c r="G120" s="112"/>
      <c r="H120" s="111"/>
      <c r="I120" s="111"/>
      <c r="J120" s="237">
        <f t="shared" si="3"/>
        <v>0</v>
      </c>
    </row>
    <row r="121" spans="1:10" s="138" customFormat="1" ht="15" customHeight="1" hidden="1" outlineLevel="3">
      <c r="A121" s="136" t="s">
        <v>458</v>
      </c>
      <c r="B121" s="137" t="s">
        <v>389</v>
      </c>
      <c r="C121" s="112">
        <v>490</v>
      </c>
      <c r="D121" s="137">
        <v>12</v>
      </c>
      <c r="E121" s="112"/>
      <c r="F121" s="110">
        <f t="shared" si="4"/>
        <v>0</v>
      </c>
      <c r="G121" s="112"/>
      <c r="H121" s="111"/>
      <c r="I121" s="111"/>
      <c r="J121" s="237">
        <f t="shared" si="3"/>
        <v>0</v>
      </c>
    </row>
    <row r="122" spans="1:10" s="138" customFormat="1" ht="15" customHeight="1" hidden="1" outlineLevel="3">
      <c r="A122" s="136" t="s">
        <v>459</v>
      </c>
      <c r="B122" s="137" t="s">
        <v>389</v>
      </c>
      <c r="C122" s="112">
        <v>480</v>
      </c>
      <c r="D122" s="137">
        <v>12</v>
      </c>
      <c r="E122" s="112"/>
      <c r="F122" s="110">
        <f t="shared" si="4"/>
        <v>0</v>
      </c>
      <c r="G122" s="112"/>
      <c r="H122" s="111"/>
      <c r="I122" s="111"/>
      <c r="J122" s="237">
        <f t="shared" si="3"/>
        <v>0</v>
      </c>
    </row>
    <row r="123" spans="1:10" s="138" customFormat="1" ht="15" customHeight="1" hidden="1" outlineLevel="3">
      <c r="A123" s="136" t="s">
        <v>460</v>
      </c>
      <c r="B123" s="137" t="s">
        <v>389</v>
      </c>
      <c r="C123" s="112">
        <v>470</v>
      </c>
      <c r="D123" s="137">
        <v>12</v>
      </c>
      <c r="E123" s="112"/>
      <c r="F123" s="110">
        <f t="shared" si="4"/>
        <v>0</v>
      </c>
      <c r="G123" s="112"/>
      <c r="H123" s="111"/>
      <c r="I123" s="111"/>
      <c r="J123" s="237">
        <f t="shared" si="3"/>
        <v>0</v>
      </c>
    </row>
    <row r="124" spans="1:10" s="138" customFormat="1" ht="15" customHeight="1" hidden="1" outlineLevel="3">
      <c r="A124" s="136" t="s">
        <v>461</v>
      </c>
      <c r="B124" s="137" t="s">
        <v>389</v>
      </c>
      <c r="C124" s="112">
        <v>580</v>
      </c>
      <c r="D124" s="137">
        <v>12</v>
      </c>
      <c r="E124" s="112"/>
      <c r="F124" s="110">
        <f t="shared" si="4"/>
        <v>0</v>
      </c>
      <c r="G124" s="112"/>
      <c r="H124" s="111"/>
      <c r="I124" s="111"/>
      <c r="J124" s="237">
        <f t="shared" si="3"/>
        <v>0</v>
      </c>
    </row>
    <row r="125" spans="1:10" s="138" customFormat="1" ht="15" customHeight="1" hidden="1" outlineLevel="3">
      <c r="A125" s="136" t="s">
        <v>462</v>
      </c>
      <c r="B125" s="137" t="s">
        <v>389</v>
      </c>
      <c r="C125" s="112">
        <v>560</v>
      </c>
      <c r="D125" s="137">
        <v>12</v>
      </c>
      <c r="E125" s="112"/>
      <c r="F125" s="110">
        <f t="shared" si="4"/>
        <v>0</v>
      </c>
      <c r="G125" s="112"/>
      <c r="H125" s="111"/>
      <c r="I125" s="111"/>
      <c r="J125" s="237">
        <f t="shared" si="3"/>
        <v>0</v>
      </c>
    </row>
    <row r="126" spans="1:10" s="138" customFormat="1" ht="15" customHeight="1" hidden="1" outlineLevel="3">
      <c r="A126" s="136" t="s">
        <v>463</v>
      </c>
      <c r="B126" s="137" t="s">
        <v>389</v>
      </c>
      <c r="C126" s="112">
        <v>540</v>
      </c>
      <c r="D126" s="137">
        <v>12</v>
      </c>
      <c r="E126" s="112"/>
      <c r="F126" s="110">
        <f t="shared" si="4"/>
        <v>0</v>
      </c>
      <c r="G126" s="112"/>
      <c r="H126" s="111"/>
      <c r="I126" s="111"/>
      <c r="J126" s="237">
        <f t="shared" si="3"/>
        <v>0</v>
      </c>
    </row>
    <row r="127" spans="1:10" s="138" customFormat="1" ht="15" customHeight="1" hidden="1" outlineLevel="3">
      <c r="A127" s="136" t="s">
        <v>464</v>
      </c>
      <c r="B127" s="137" t="s">
        <v>389</v>
      </c>
      <c r="C127" s="112">
        <v>600</v>
      </c>
      <c r="D127" s="137">
        <v>12</v>
      </c>
      <c r="E127" s="112"/>
      <c r="F127" s="110">
        <f t="shared" si="4"/>
        <v>0</v>
      </c>
      <c r="G127" s="112"/>
      <c r="H127" s="111"/>
      <c r="I127" s="111"/>
      <c r="J127" s="237">
        <f t="shared" si="3"/>
        <v>0</v>
      </c>
    </row>
    <row r="128" spans="1:10" s="138" customFormat="1" ht="15" customHeight="1" hidden="1" outlineLevel="3">
      <c r="A128" s="136" t="s">
        <v>465</v>
      </c>
      <c r="B128" s="137" t="s">
        <v>389</v>
      </c>
      <c r="C128" s="112">
        <v>600</v>
      </c>
      <c r="D128" s="137">
        <v>12</v>
      </c>
      <c r="E128" s="112"/>
      <c r="F128" s="110">
        <f t="shared" si="4"/>
        <v>0</v>
      </c>
      <c r="G128" s="112"/>
      <c r="H128" s="111"/>
      <c r="I128" s="111"/>
      <c r="J128" s="237">
        <f t="shared" si="3"/>
        <v>0</v>
      </c>
    </row>
    <row r="129" spans="1:10" s="138" customFormat="1" ht="15" customHeight="1" hidden="1" outlineLevel="3">
      <c r="A129" s="136" t="s">
        <v>466</v>
      </c>
      <c r="B129" s="137" t="s">
        <v>389</v>
      </c>
      <c r="C129" s="112">
        <v>580</v>
      </c>
      <c r="D129" s="137">
        <v>12</v>
      </c>
      <c r="E129" s="112"/>
      <c r="F129" s="110">
        <f t="shared" si="4"/>
        <v>0</v>
      </c>
      <c r="G129" s="112"/>
      <c r="H129" s="111"/>
      <c r="I129" s="111"/>
      <c r="J129" s="237">
        <f t="shared" si="3"/>
        <v>0</v>
      </c>
    </row>
    <row r="130" spans="1:10" s="138" customFormat="1" ht="15" customHeight="1" hidden="1" outlineLevel="3">
      <c r="A130" s="136" t="s">
        <v>467</v>
      </c>
      <c r="B130" s="137" t="s">
        <v>389</v>
      </c>
      <c r="C130" s="112">
        <v>530</v>
      </c>
      <c r="D130" s="137">
        <v>12</v>
      </c>
      <c r="E130" s="112"/>
      <c r="F130" s="110">
        <f t="shared" si="4"/>
        <v>0</v>
      </c>
      <c r="G130" s="112"/>
      <c r="H130" s="111"/>
      <c r="I130" s="111"/>
      <c r="J130" s="237">
        <f t="shared" si="3"/>
        <v>0</v>
      </c>
    </row>
    <row r="131" spans="1:10" s="138" customFormat="1" ht="15" customHeight="1" hidden="1" outlineLevel="3">
      <c r="A131" s="136" t="s">
        <v>468</v>
      </c>
      <c r="B131" s="137" t="s">
        <v>389</v>
      </c>
      <c r="C131" s="112">
        <v>530</v>
      </c>
      <c r="D131" s="137">
        <v>12</v>
      </c>
      <c r="E131" s="112"/>
      <c r="F131" s="110">
        <f t="shared" si="4"/>
        <v>0</v>
      </c>
      <c r="G131" s="112"/>
      <c r="H131" s="111"/>
      <c r="I131" s="111"/>
      <c r="J131" s="237">
        <f t="shared" si="3"/>
        <v>0</v>
      </c>
    </row>
    <row r="132" spans="1:10" s="138" customFormat="1" ht="15" customHeight="1" hidden="1" outlineLevel="3">
      <c r="A132" s="136" t="s">
        <v>469</v>
      </c>
      <c r="B132" s="137" t="s">
        <v>389</v>
      </c>
      <c r="C132" s="112">
        <v>510</v>
      </c>
      <c r="D132" s="137">
        <v>12</v>
      </c>
      <c r="E132" s="112"/>
      <c r="F132" s="110">
        <f t="shared" si="4"/>
        <v>0</v>
      </c>
      <c r="G132" s="112"/>
      <c r="H132" s="111"/>
      <c r="I132" s="111"/>
      <c r="J132" s="237">
        <f aca="true" t="shared" si="5" ref="J132:J179">I132/$E$9</f>
        <v>0</v>
      </c>
    </row>
    <row r="133" spans="1:10" s="138" customFormat="1" ht="15" customHeight="1" hidden="1" outlineLevel="3">
      <c r="A133" s="136" t="s">
        <v>470</v>
      </c>
      <c r="B133" s="137" t="s">
        <v>389</v>
      </c>
      <c r="C133" s="112">
        <v>640</v>
      </c>
      <c r="D133" s="137">
        <v>12</v>
      </c>
      <c r="E133" s="112"/>
      <c r="F133" s="110">
        <f t="shared" si="4"/>
        <v>0</v>
      </c>
      <c r="G133" s="112"/>
      <c r="H133" s="111"/>
      <c r="I133" s="111"/>
      <c r="J133" s="237">
        <f t="shared" si="5"/>
        <v>0</v>
      </c>
    </row>
    <row r="134" spans="1:10" s="138" customFormat="1" ht="15" customHeight="1" hidden="1" outlineLevel="3">
      <c r="A134" s="136" t="s">
        <v>471</v>
      </c>
      <c r="B134" s="137" t="s">
        <v>389</v>
      </c>
      <c r="C134" s="112">
        <v>510</v>
      </c>
      <c r="D134" s="137">
        <v>12</v>
      </c>
      <c r="E134" s="112"/>
      <c r="F134" s="110">
        <f t="shared" si="4"/>
        <v>0</v>
      </c>
      <c r="G134" s="112"/>
      <c r="H134" s="111"/>
      <c r="I134" s="111"/>
      <c r="J134" s="237">
        <f t="shared" si="5"/>
        <v>0</v>
      </c>
    </row>
    <row r="135" spans="1:10" s="138" customFormat="1" ht="15" customHeight="1" hidden="1" outlineLevel="3">
      <c r="A135" s="136" t="s">
        <v>472</v>
      </c>
      <c r="B135" s="137" t="s">
        <v>389</v>
      </c>
      <c r="C135" s="112">
        <v>490</v>
      </c>
      <c r="D135" s="137">
        <v>12</v>
      </c>
      <c r="E135" s="112"/>
      <c r="F135" s="110">
        <f t="shared" si="4"/>
        <v>0</v>
      </c>
      <c r="G135" s="112"/>
      <c r="H135" s="111"/>
      <c r="I135" s="111"/>
      <c r="J135" s="237">
        <f t="shared" si="5"/>
        <v>0</v>
      </c>
    </row>
    <row r="136" spans="1:10" s="138" customFormat="1" ht="15" customHeight="1" hidden="1" outlineLevel="3">
      <c r="A136" s="136" t="s">
        <v>473</v>
      </c>
      <c r="B136" s="137" t="s">
        <v>389</v>
      </c>
      <c r="C136" s="112">
        <v>670</v>
      </c>
      <c r="D136" s="137">
        <v>12</v>
      </c>
      <c r="E136" s="112"/>
      <c r="F136" s="110">
        <f t="shared" si="4"/>
        <v>0</v>
      </c>
      <c r="G136" s="112"/>
      <c r="H136" s="111"/>
      <c r="I136" s="111"/>
      <c r="J136" s="237">
        <f t="shared" si="5"/>
        <v>0</v>
      </c>
    </row>
    <row r="137" spans="1:10" s="138" customFormat="1" ht="15" customHeight="1" hidden="1" outlineLevel="3">
      <c r="A137" s="136" t="s">
        <v>474</v>
      </c>
      <c r="B137" s="137" t="s">
        <v>389</v>
      </c>
      <c r="C137" s="112">
        <v>660</v>
      </c>
      <c r="D137" s="137">
        <v>12</v>
      </c>
      <c r="E137" s="112"/>
      <c r="F137" s="110">
        <f t="shared" si="4"/>
        <v>0</v>
      </c>
      <c r="G137" s="112"/>
      <c r="H137" s="111"/>
      <c r="I137" s="111"/>
      <c r="J137" s="237">
        <f t="shared" si="5"/>
        <v>0</v>
      </c>
    </row>
    <row r="138" spans="1:10" s="138" customFormat="1" ht="15" customHeight="1" hidden="1" outlineLevel="3">
      <c r="A138" s="136" t="s">
        <v>475</v>
      </c>
      <c r="B138" s="137" t="s">
        <v>389</v>
      </c>
      <c r="C138" s="112">
        <v>640</v>
      </c>
      <c r="D138" s="137">
        <v>12</v>
      </c>
      <c r="E138" s="112"/>
      <c r="F138" s="110">
        <f t="shared" si="4"/>
        <v>0</v>
      </c>
      <c r="G138" s="112"/>
      <c r="H138" s="111"/>
      <c r="I138" s="111"/>
      <c r="J138" s="237">
        <f t="shared" si="5"/>
        <v>0</v>
      </c>
    </row>
    <row r="139" spans="1:10" s="138" customFormat="1" ht="15" customHeight="1" hidden="1" outlineLevel="3">
      <c r="A139" s="136" t="s">
        <v>476</v>
      </c>
      <c r="B139" s="137" t="s">
        <v>389</v>
      </c>
      <c r="C139" s="112">
        <v>590</v>
      </c>
      <c r="D139" s="137">
        <v>12</v>
      </c>
      <c r="E139" s="112"/>
      <c r="F139" s="110">
        <f t="shared" si="4"/>
        <v>0</v>
      </c>
      <c r="G139" s="112"/>
      <c r="H139" s="111"/>
      <c r="I139" s="111"/>
      <c r="J139" s="237">
        <f t="shared" si="5"/>
        <v>0</v>
      </c>
    </row>
    <row r="140" spans="1:10" s="138" customFormat="1" ht="15" customHeight="1" hidden="1" outlineLevel="3">
      <c r="A140" s="136" t="s">
        <v>477</v>
      </c>
      <c r="B140" s="137" t="s">
        <v>389</v>
      </c>
      <c r="C140" s="112">
        <v>580</v>
      </c>
      <c r="D140" s="137">
        <v>12</v>
      </c>
      <c r="E140" s="112"/>
      <c r="F140" s="110">
        <f t="shared" si="4"/>
        <v>0</v>
      </c>
      <c r="G140" s="112"/>
      <c r="H140" s="111"/>
      <c r="I140" s="111"/>
      <c r="J140" s="237">
        <f t="shared" si="5"/>
        <v>0</v>
      </c>
    </row>
    <row r="141" spans="1:10" s="138" customFormat="1" ht="15" customHeight="1" hidden="1" outlineLevel="3">
      <c r="A141" s="136" t="s">
        <v>478</v>
      </c>
      <c r="B141" s="137" t="s">
        <v>389</v>
      </c>
      <c r="C141" s="112">
        <v>560</v>
      </c>
      <c r="D141" s="137">
        <v>12</v>
      </c>
      <c r="E141" s="112"/>
      <c r="F141" s="110">
        <f t="shared" si="4"/>
        <v>0</v>
      </c>
      <c r="G141" s="112"/>
      <c r="H141" s="111"/>
      <c r="I141" s="111"/>
      <c r="J141" s="237">
        <f t="shared" si="5"/>
        <v>0</v>
      </c>
    </row>
    <row r="142" spans="1:10" s="69" customFormat="1" ht="15" customHeight="1" hidden="1" outlineLevel="1" collapsed="1">
      <c r="A142" s="135" t="s">
        <v>365</v>
      </c>
      <c r="B142" s="68" t="s">
        <v>364</v>
      </c>
      <c r="C142" s="68" t="str">
        <f>E51</f>
        <v>х</v>
      </c>
      <c r="D142" s="139">
        <v>0.5</v>
      </c>
      <c r="E142" s="108">
        <f>H51</f>
        <v>0</v>
      </c>
      <c r="F142" s="68">
        <f>E142/12</f>
        <v>0</v>
      </c>
      <c r="G142" s="107">
        <v>0.5</v>
      </c>
      <c r="H142" s="108">
        <f>E142*G142</f>
        <v>0</v>
      </c>
      <c r="I142" s="108">
        <f>H142/12</f>
        <v>0</v>
      </c>
      <c r="J142" s="237">
        <f t="shared" si="5"/>
        <v>0</v>
      </c>
    </row>
    <row r="143" spans="1:10" s="69" customFormat="1" ht="15" customHeight="1" hidden="1" outlineLevel="1">
      <c r="A143" s="135" t="s">
        <v>366</v>
      </c>
      <c r="B143" s="68" t="s">
        <v>364</v>
      </c>
      <c r="C143" s="68" t="s">
        <v>364</v>
      </c>
      <c r="D143" s="139">
        <v>0.12</v>
      </c>
      <c r="E143" s="108">
        <f>H51+H142</f>
        <v>0</v>
      </c>
      <c r="F143" s="68">
        <f>E143/12</f>
        <v>0</v>
      </c>
      <c r="G143" s="107">
        <v>0.12</v>
      </c>
      <c r="H143" s="108">
        <f>E143*G143</f>
        <v>0</v>
      </c>
      <c r="I143" s="108">
        <f>H143/12</f>
        <v>0</v>
      </c>
      <c r="J143" s="237">
        <f t="shared" si="5"/>
        <v>0</v>
      </c>
    </row>
    <row r="144" spans="1:10" s="69" customFormat="1" ht="15" customHeight="1" hidden="1" outlineLevel="1">
      <c r="A144" s="135" t="s">
        <v>367</v>
      </c>
      <c r="B144" s="68" t="s">
        <v>364</v>
      </c>
      <c r="C144" s="68" t="s">
        <v>364</v>
      </c>
      <c r="D144" s="139">
        <v>0.342</v>
      </c>
      <c r="E144" s="108">
        <f>H51+H142+H143</f>
        <v>0</v>
      </c>
      <c r="F144" s="68">
        <f>E144/12</f>
        <v>0</v>
      </c>
      <c r="G144" s="107">
        <v>0.342</v>
      </c>
      <c r="H144" s="108">
        <f>E144*G144</f>
        <v>0</v>
      </c>
      <c r="I144" s="108">
        <f>H144/12</f>
        <v>0</v>
      </c>
      <c r="J144" s="237">
        <f t="shared" si="5"/>
        <v>0</v>
      </c>
    </row>
    <row r="145" spans="1:10" s="69" customFormat="1" ht="15" customHeight="1" hidden="1" outlineLevel="1" collapsed="1">
      <c r="A145" s="135" t="s">
        <v>369</v>
      </c>
      <c r="B145" s="68" t="s">
        <v>364</v>
      </c>
      <c r="C145" s="124" t="s">
        <v>364</v>
      </c>
      <c r="D145" s="124" t="s">
        <v>364</v>
      </c>
      <c r="E145" s="124" t="s">
        <v>364</v>
      </c>
      <c r="F145" s="125" t="s">
        <v>364</v>
      </c>
      <c r="G145" s="125" t="s">
        <v>364</v>
      </c>
      <c r="H145" s="108">
        <f>SUM(H146:H164)</f>
        <v>0</v>
      </c>
      <c r="I145" s="108">
        <f>H145/12</f>
        <v>0</v>
      </c>
      <c r="J145" s="237">
        <f t="shared" si="5"/>
        <v>0</v>
      </c>
    </row>
    <row r="146" spans="1:10" s="123" customFormat="1" ht="15" customHeight="1" hidden="1" outlineLevel="3">
      <c r="A146" s="102" t="s">
        <v>479</v>
      </c>
      <c r="B146" s="129" t="s">
        <v>370</v>
      </c>
      <c r="C146" s="120">
        <f>1/12</f>
        <v>0.08333333333333333</v>
      </c>
      <c r="D146" s="140">
        <v>12</v>
      </c>
      <c r="E146" s="119">
        <v>0</v>
      </c>
      <c r="F146" s="120">
        <f>C146*D146*E146</f>
        <v>0</v>
      </c>
      <c r="G146" s="121">
        <v>500</v>
      </c>
      <c r="H146" s="121">
        <f>F146*G146</f>
        <v>0</v>
      </c>
      <c r="I146" s="121">
        <f>H146/12</f>
        <v>0</v>
      </c>
      <c r="J146" s="237">
        <f t="shared" si="5"/>
        <v>0</v>
      </c>
    </row>
    <row r="147" spans="1:10" s="123" customFormat="1" ht="15" customHeight="1" hidden="1" outlineLevel="3">
      <c r="A147" s="102" t="s">
        <v>381</v>
      </c>
      <c r="B147" s="129" t="s">
        <v>370</v>
      </c>
      <c r="C147" s="120">
        <v>1</v>
      </c>
      <c r="D147" s="140">
        <v>12</v>
      </c>
      <c r="E147" s="119">
        <v>0</v>
      </c>
      <c r="F147" s="120">
        <f aca="true" t="shared" si="6" ref="F147:F164">C147*D147*E147</f>
        <v>0</v>
      </c>
      <c r="G147" s="121">
        <v>14</v>
      </c>
      <c r="H147" s="121">
        <f aca="true" t="shared" si="7" ref="H147:H162">F147*G147</f>
        <v>0</v>
      </c>
      <c r="I147" s="121">
        <f aca="true" t="shared" si="8" ref="I147:I164">H147/12</f>
        <v>0</v>
      </c>
      <c r="J147" s="237">
        <f t="shared" si="5"/>
        <v>0</v>
      </c>
    </row>
    <row r="148" spans="1:10" s="123" customFormat="1" ht="15" customHeight="1" hidden="1" outlineLevel="3">
      <c r="A148" s="102" t="s">
        <v>480</v>
      </c>
      <c r="B148" s="129" t="s">
        <v>370</v>
      </c>
      <c r="C148" s="120">
        <f>1/12</f>
        <v>0.08333333333333333</v>
      </c>
      <c r="D148" s="140">
        <v>12</v>
      </c>
      <c r="E148" s="119">
        <v>0</v>
      </c>
      <c r="F148" s="120">
        <f t="shared" si="6"/>
        <v>0</v>
      </c>
      <c r="G148" s="121">
        <v>120</v>
      </c>
      <c r="H148" s="121">
        <f t="shared" si="7"/>
        <v>0</v>
      </c>
      <c r="I148" s="121">
        <f t="shared" si="8"/>
        <v>0</v>
      </c>
      <c r="J148" s="237">
        <f t="shared" si="5"/>
        <v>0</v>
      </c>
    </row>
    <row r="149" spans="1:10" s="123" customFormat="1" ht="15" customHeight="1" hidden="1" outlineLevel="3">
      <c r="A149" s="102" t="s">
        <v>481</v>
      </c>
      <c r="B149" s="129" t="s">
        <v>370</v>
      </c>
      <c r="C149" s="120">
        <f>1/36</f>
        <v>0.027777777777777776</v>
      </c>
      <c r="D149" s="140">
        <v>12</v>
      </c>
      <c r="E149" s="119">
        <v>0</v>
      </c>
      <c r="F149" s="120">
        <f t="shared" si="6"/>
        <v>0</v>
      </c>
      <c r="G149" s="121">
        <v>1200</v>
      </c>
      <c r="H149" s="121">
        <f t="shared" si="7"/>
        <v>0</v>
      </c>
      <c r="I149" s="121">
        <f t="shared" si="8"/>
        <v>0</v>
      </c>
      <c r="J149" s="237">
        <f t="shared" si="5"/>
        <v>0</v>
      </c>
    </row>
    <row r="150" spans="1:10" s="123" customFormat="1" ht="15" customHeight="1" hidden="1" outlineLevel="3">
      <c r="A150" s="102" t="s">
        <v>482</v>
      </c>
      <c r="B150" s="129" t="s">
        <v>370</v>
      </c>
      <c r="C150" s="120">
        <f>1/36</f>
        <v>0.027777777777777776</v>
      </c>
      <c r="D150" s="140">
        <v>12</v>
      </c>
      <c r="E150" s="119">
        <v>0</v>
      </c>
      <c r="F150" s="120">
        <f t="shared" si="6"/>
        <v>0</v>
      </c>
      <c r="G150" s="121">
        <v>1200</v>
      </c>
      <c r="H150" s="121">
        <f t="shared" si="7"/>
        <v>0</v>
      </c>
      <c r="I150" s="121">
        <f t="shared" si="8"/>
        <v>0</v>
      </c>
      <c r="J150" s="237">
        <f t="shared" si="5"/>
        <v>0</v>
      </c>
    </row>
    <row r="151" spans="1:10" s="123" customFormat="1" ht="15" customHeight="1" hidden="1" outlineLevel="3">
      <c r="A151" s="102" t="s">
        <v>371</v>
      </c>
      <c r="B151" s="129" t="s">
        <v>370</v>
      </c>
      <c r="C151" s="120">
        <f>1/36</f>
        <v>0.027777777777777776</v>
      </c>
      <c r="D151" s="140">
        <v>12</v>
      </c>
      <c r="E151" s="119">
        <v>0</v>
      </c>
      <c r="F151" s="120">
        <f t="shared" si="6"/>
        <v>0</v>
      </c>
      <c r="G151" s="121">
        <v>600</v>
      </c>
      <c r="H151" s="121">
        <f t="shared" si="7"/>
        <v>0</v>
      </c>
      <c r="I151" s="121">
        <f t="shared" si="8"/>
        <v>0</v>
      </c>
      <c r="J151" s="237">
        <f t="shared" si="5"/>
        <v>0</v>
      </c>
    </row>
    <row r="152" spans="1:10" s="123" customFormat="1" ht="15" customHeight="1" hidden="1" outlineLevel="3">
      <c r="A152" s="102" t="s">
        <v>373</v>
      </c>
      <c r="B152" s="129" t="s">
        <v>370</v>
      </c>
      <c r="C152" s="120">
        <v>0.027777777777777776</v>
      </c>
      <c r="D152" s="140">
        <v>12</v>
      </c>
      <c r="E152" s="119">
        <v>0</v>
      </c>
      <c r="F152" s="120">
        <f t="shared" si="6"/>
        <v>0</v>
      </c>
      <c r="G152" s="121">
        <v>100</v>
      </c>
      <c r="H152" s="121">
        <f t="shared" si="7"/>
        <v>0</v>
      </c>
      <c r="I152" s="121">
        <f t="shared" si="8"/>
        <v>0</v>
      </c>
      <c r="J152" s="237">
        <f t="shared" si="5"/>
        <v>0</v>
      </c>
    </row>
    <row r="153" spans="1:10" s="123" customFormat="1" ht="15" customHeight="1" hidden="1" outlineLevel="3">
      <c r="A153" s="102" t="s">
        <v>483</v>
      </c>
      <c r="B153" s="129" t="s">
        <v>370</v>
      </c>
      <c r="C153" s="120">
        <f>1/36</f>
        <v>0.027777777777777776</v>
      </c>
      <c r="D153" s="140">
        <v>12</v>
      </c>
      <c r="E153" s="119">
        <v>0</v>
      </c>
      <c r="F153" s="120">
        <f t="shared" si="6"/>
        <v>0</v>
      </c>
      <c r="G153" s="121">
        <v>1200</v>
      </c>
      <c r="H153" s="121">
        <f t="shared" si="7"/>
        <v>0</v>
      </c>
      <c r="I153" s="121">
        <f t="shared" si="8"/>
        <v>0</v>
      </c>
      <c r="J153" s="237">
        <f t="shared" si="5"/>
        <v>0</v>
      </c>
    </row>
    <row r="154" spans="1:10" s="123" customFormat="1" ht="15" customHeight="1" hidden="1" outlineLevel="3">
      <c r="A154" s="102" t="s">
        <v>484</v>
      </c>
      <c r="B154" s="129" t="s">
        <v>370</v>
      </c>
      <c r="C154" s="120">
        <f>1/12</f>
        <v>0.08333333333333333</v>
      </c>
      <c r="D154" s="140">
        <v>12</v>
      </c>
      <c r="E154" s="119">
        <v>0</v>
      </c>
      <c r="F154" s="120">
        <f t="shared" si="6"/>
        <v>0</v>
      </c>
      <c r="G154" s="121">
        <v>100</v>
      </c>
      <c r="H154" s="121">
        <f t="shared" si="7"/>
        <v>0</v>
      </c>
      <c r="I154" s="121">
        <f t="shared" si="8"/>
        <v>0</v>
      </c>
      <c r="J154" s="237">
        <f t="shared" si="5"/>
        <v>0</v>
      </c>
    </row>
    <row r="155" spans="1:10" s="123" customFormat="1" ht="15" customHeight="1" hidden="1" outlineLevel="3">
      <c r="A155" s="102" t="s">
        <v>485</v>
      </c>
      <c r="B155" s="129" t="s">
        <v>370</v>
      </c>
      <c r="C155" s="120">
        <v>0.08333333333333333</v>
      </c>
      <c r="D155" s="140">
        <v>12</v>
      </c>
      <c r="E155" s="119">
        <v>0</v>
      </c>
      <c r="F155" s="120">
        <f t="shared" si="6"/>
        <v>0</v>
      </c>
      <c r="G155" s="121">
        <v>100</v>
      </c>
      <c r="H155" s="121">
        <f t="shared" si="7"/>
        <v>0</v>
      </c>
      <c r="I155" s="121">
        <f t="shared" si="8"/>
        <v>0</v>
      </c>
      <c r="J155" s="237">
        <f t="shared" si="5"/>
        <v>0</v>
      </c>
    </row>
    <row r="156" spans="1:10" s="123" customFormat="1" ht="15" customHeight="1" hidden="1" outlineLevel="3">
      <c r="A156" s="102" t="s">
        <v>382</v>
      </c>
      <c r="B156" s="129" t="s">
        <v>370</v>
      </c>
      <c r="C156" s="120">
        <f>1/36</f>
        <v>0.027777777777777776</v>
      </c>
      <c r="D156" s="140">
        <v>12</v>
      </c>
      <c r="E156" s="119">
        <v>0</v>
      </c>
      <c r="F156" s="120">
        <f t="shared" si="6"/>
        <v>0</v>
      </c>
      <c r="G156" s="121">
        <v>1200</v>
      </c>
      <c r="H156" s="121">
        <f t="shared" si="7"/>
        <v>0</v>
      </c>
      <c r="I156" s="121">
        <f t="shared" si="8"/>
        <v>0</v>
      </c>
      <c r="J156" s="237">
        <f t="shared" si="5"/>
        <v>0</v>
      </c>
    </row>
    <row r="157" spans="1:10" s="123" customFormat="1" ht="15" customHeight="1" hidden="1" outlineLevel="3">
      <c r="A157" s="102" t="s">
        <v>372</v>
      </c>
      <c r="B157" s="129" t="s">
        <v>370</v>
      </c>
      <c r="C157" s="120">
        <v>1</v>
      </c>
      <c r="D157" s="140">
        <v>12</v>
      </c>
      <c r="E157" s="119">
        <v>0</v>
      </c>
      <c r="F157" s="120">
        <f t="shared" si="6"/>
        <v>0</v>
      </c>
      <c r="G157" s="121">
        <v>34</v>
      </c>
      <c r="H157" s="121">
        <f t="shared" si="7"/>
        <v>0</v>
      </c>
      <c r="I157" s="121">
        <f t="shared" si="8"/>
        <v>0</v>
      </c>
      <c r="J157" s="237">
        <f t="shared" si="5"/>
        <v>0</v>
      </c>
    </row>
    <row r="158" spans="1:10" s="123" customFormat="1" ht="15" customHeight="1" hidden="1" outlineLevel="3">
      <c r="A158" s="102" t="s">
        <v>376</v>
      </c>
      <c r="B158" s="129" t="s">
        <v>370</v>
      </c>
      <c r="C158" s="120">
        <f>1/12</f>
        <v>0.08333333333333333</v>
      </c>
      <c r="D158" s="140">
        <v>12</v>
      </c>
      <c r="E158" s="119">
        <v>0</v>
      </c>
      <c r="F158" s="120">
        <f>C158*D158*E158</f>
        <v>0</v>
      </c>
      <c r="G158" s="121">
        <v>120</v>
      </c>
      <c r="H158" s="121">
        <f t="shared" si="7"/>
        <v>0</v>
      </c>
      <c r="I158" s="121">
        <f t="shared" si="8"/>
        <v>0</v>
      </c>
      <c r="J158" s="237">
        <f t="shared" si="5"/>
        <v>0</v>
      </c>
    </row>
    <row r="159" spans="1:10" s="123" customFormat="1" ht="15" customHeight="1" hidden="1" outlineLevel="3">
      <c r="A159" s="102" t="s">
        <v>374</v>
      </c>
      <c r="B159" s="129" t="s">
        <v>370</v>
      </c>
      <c r="C159" s="120">
        <f>4/12</f>
        <v>0.3333333333333333</v>
      </c>
      <c r="D159" s="140">
        <v>12</v>
      </c>
      <c r="E159" s="119">
        <v>0</v>
      </c>
      <c r="F159" s="120">
        <f t="shared" si="6"/>
        <v>0</v>
      </c>
      <c r="G159" s="121">
        <v>70</v>
      </c>
      <c r="H159" s="121">
        <f t="shared" si="7"/>
        <v>0</v>
      </c>
      <c r="I159" s="121">
        <f t="shared" si="8"/>
        <v>0</v>
      </c>
      <c r="J159" s="237">
        <f t="shared" si="5"/>
        <v>0</v>
      </c>
    </row>
    <row r="160" spans="1:10" s="123" customFormat="1" ht="15" customHeight="1" hidden="1" outlineLevel="3">
      <c r="A160" s="102" t="s">
        <v>383</v>
      </c>
      <c r="B160" s="129" t="s">
        <v>370</v>
      </c>
      <c r="C160" s="120">
        <f>1/12</f>
        <v>0.08333333333333333</v>
      </c>
      <c r="D160" s="140">
        <v>12</v>
      </c>
      <c r="E160" s="119">
        <v>0</v>
      </c>
      <c r="F160" s="120">
        <f t="shared" si="6"/>
        <v>0</v>
      </c>
      <c r="G160" s="121">
        <v>100</v>
      </c>
      <c r="H160" s="121">
        <f t="shared" si="7"/>
        <v>0</v>
      </c>
      <c r="I160" s="121">
        <f t="shared" si="8"/>
        <v>0</v>
      </c>
      <c r="J160" s="237">
        <f t="shared" si="5"/>
        <v>0</v>
      </c>
    </row>
    <row r="161" spans="1:10" s="123" customFormat="1" ht="15" customHeight="1" hidden="1" outlineLevel="3">
      <c r="A161" s="102" t="s">
        <v>375</v>
      </c>
      <c r="B161" s="129" t="s">
        <v>370</v>
      </c>
      <c r="C161" s="120">
        <f>1/12</f>
        <v>0.08333333333333333</v>
      </c>
      <c r="D161" s="140">
        <v>12</v>
      </c>
      <c r="E161" s="119">
        <v>0</v>
      </c>
      <c r="F161" s="120">
        <f t="shared" si="6"/>
        <v>0</v>
      </c>
      <c r="G161" s="121">
        <v>120</v>
      </c>
      <c r="H161" s="121">
        <f t="shared" si="7"/>
        <v>0</v>
      </c>
      <c r="I161" s="121">
        <f t="shared" si="8"/>
        <v>0</v>
      </c>
      <c r="J161" s="237">
        <f t="shared" si="5"/>
        <v>0</v>
      </c>
    </row>
    <row r="162" spans="1:10" s="123" customFormat="1" ht="15" customHeight="1" hidden="1" outlineLevel="3">
      <c r="A162" s="102" t="s">
        <v>486</v>
      </c>
      <c r="B162" s="129" t="s">
        <v>370</v>
      </c>
      <c r="C162" s="120">
        <f>1/12</f>
        <v>0.08333333333333333</v>
      </c>
      <c r="D162" s="140">
        <v>12</v>
      </c>
      <c r="E162" s="119">
        <v>0</v>
      </c>
      <c r="F162" s="120">
        <f t="shared" si="6"/>
        <v>0</v>
      </c>
      <c r="G162" s="121">
        <v>70</v>
      </c>
      <c r="H162" s="121">
        <f t="shared" si="7"/>
        <v>0</v>
      </c>
      <c r="I162" s="121">
        <f t="shared" si="8"/>
        <v>0</v>
      </c>
      <c r="J162" s="237">
        <f t="shared" si="5"/>
        <v>0</v>
      </c>
    </row>
    <row r="163" spans="1:10" s="103" customFormat="1" ht="15.75" customHeight="1" hidden="1" outlineLevel="3">
      <c r="A163" s="104" t="s">
        <v>377</v>
      </c>
      <c r="B163" s="129" t="s">
        <v>370</v>
      </c>
      <c r="C163" s="130">
        <f>2</f>
        <v>2</v>
      </c>
      <c r="D163" s="129">
        <v>12</v>
      </c>
      <c r="E163" s="119">
        <v>0</v>
      </c>
      <c r="F163" s="131">
        <f t="shared" si="6"/>
        <v>0</v>
      </c>
      <c r="G163" s="133">
        <v>10</v>
      </c>
      <c r="H163" s="132">
        <f>F163*G163</f>
        <v>0</v>
      </c>
      <c r="I163" s="121">
        <f t="shared" si="8"/>
        <v>0</v>
      </c>
      <c r="J163" s="237">
        <f t="shared" si="5"/>
        <v>0</v>
      </c>
    </row>
    <row r="164" spans="1:10" s="103" customFormat="1" ht="15.75" customHeight="1" hidden="1" outlineLevel="3">
      <c r="A164" s="104" t="s">
        <v>378</v>
      </c>
      <c r="B164" s="129" t="s">
        <v>370</v>
      </c>
      <c r="C164" s="130">
        <v>0.5</v>
      </c>
      <c r="D164" s="129">
        <v>12</v>
      </c>
      <c r="E164" s="119">
        <v>0</v>
      </c>
      <c r="F164" s="131">
        <f t="shared" si="6"/>
        <v>0</v>
      </c>
      <c r="G164" s="133">
        <v>18.2</v>
      </c>
      <c r="H164" s="132">
        <f>F164*G164</f>
        <v>0</v>
      </c>
      <c r="I164" s="121">
        <f t="shared" si="8"/>
        <v>0</v>
      </c>
      <c r="J164" s="237">
        <f t="shared" si="5"/>
        <v>0</v>
      </c>
    </row>
    <row r="165" spans="1:10" s="69" customFormat="1" ht="15" customHeight="1" hidden="1" outlineLevel="1" collapsed="1">
      <c r="A165" s="135" t="s">
        <v>60</v>
      </c>
      <c r="B165" s="68" t="s">
        <v>364</v>
      </c>
      <c r="C165" s="124" t="s">
        <v>364</v>
      </c>
      <c r="D165" s="124" t="s">
        <v>364</v>
      </c>
      <c r="E165" s="124" t="s">
        <v>364</v>
      </c>
      <c r="F165" s="125" t="s">
        <v>364</v>
      </c>
      <c r="G165" s="125" t="s">
        <v>364</v>
      </c>
      <c r="H165" s="108">
        <f>SUM(H166:H172)</f>
        <v>0</v>
      </c>
      <c r="I165" s="108">
        <f>H165/12</f>
        <v>0</v>
      </c>
      <c r="J165" s="237">
        <f t="shared" si="5"/>
        <v>0</v>
      </c>
    </row>
    <row r="166" spans="1:10" s="123" customFormat="1" ht="15" customHeight="1" hidden="1" outlineLevel="3">
      <c r="A166" s="102" t="s">
        <v>487</v>
      </c>
      <c r="B166" s="120" t="s">
        <v>488</v>
      </c>
      <c r="C166" s="141">
        <v>6</v>
      </c>
      <c r="D166" s="140">
        <v>12</v>
      </c>
      <c r="E166" s="119">
        <v>0</v>
      </c>
      <c r="F166" s="120">
        <f>C166*D166*E166</f>
        <v>0</v>
      </c>
      <c r="G166" s="121">
        <v>25</v>
      </c>
      <c r="H166" s="121">
        <f>F166*G166</f>
        <v>0</v>
      </c>
      <c r="I166" s="121">
        <f>H166/12</f>
        <v>0</v>
      </c>
      <c r="J166" s="237">
        <f t="shared" si="5"/>
        <v>0</v>
      </c>
    </row>
    <row r="167" spans="1:10" s="123" customFormat="1" ht="15" customHeight="1" hidden="1" outlineLevel="3">
      <c r="A167" s="102" t="s">
        <v>489</v>
      </c>
      <c r="B167" s="120" t="s">
        <v>368</v>
      </c>
      <c r="C167" s="141">
        <v>0.02</v>
      </c>
      <c r="D167" s="140">
        <v>12</v>
      </c>
      <c r="E167" s="119">
        <v>0</v>
      </c>
      <c r="F167" s="120">
        <f aca="true" t="shared" si="9" ref="F167:F172">C167*D167*E167</f>
        <v>0</v>
      </c>
      <c r="G167" s="121">
        <v>70</v>
      </c>
      <c r="H167" s="121">
        <f aca="true" t="shared" si="10" ref="H167:H172">F167*G167</f>
        <v>0</v>
      </c>
      <c r="I167" s="121">
        <f aca="true" t="shared" si="11" ref="I167:I172">H167/12</f>
        <v>0</v>
      </c>
      <c r="J167" s="237">
        <f t="shared" si="5"/>
        <v>0</v>
      </c>
    </row>
    <row r="168" spans="1:10" s="123" customFormat="1" ht="15" customHeight="1" hidden="1" outlineLevel="3">
      <c r="A168" s="102" t="s">
        <v>490</v>
      </c>
      <c r="B168" s="120" t="s">
        <v>491</v>
      </c>
      <c r="C168" s="141">
        <v>0.015</v>
      </c>
      <c r="D168" s="140">
        <v>183</v>
      </c>
      <c r="E168" s="119">
        <v>0</v>
      </c>
      <c r="F168" s="120">
        <f t="shared" si="9"/>
        <v>0</v>
      </c>
      <c r="G168" s="121">
        <v>70</v>
      </c>
      <c r="H168" s="121">
        <f t="shared" si="10"/>
        <v>0</v>
      </c>
      <c r="I168" s="121">
        <f t="shared" si="11"/>
        <v>0</v>
      </c>
      <c r="J168" s="237">
        <f t="shared" si="5"/>
        <v>0</v>
      </c>
    </row>
    <row r="169" spans="1:10" s="123" customFormat="1" ht="15" customHeight="1" hidden="1" outlineLevel="3">
      <c r="A169" s="102" t="s">
        <v>492</v>
      </c>
      <c r="B169" s="120" t="s">
        <v>491</v>
      </c>
      <c r="C169" s="141">
        <v>0.02</v>
      </c>
      <c r="D169" s="140">
        <v>52</v>
      </c>
      <c r="E169" s="119">
        <v>0</v>
      </c>
      <c r="F169" s="120">
        <f t="shared" si="9"/>
        <v>0</v>
      </c>
      <c r="G169" s="121">
        <v>70</v>
      </c>
      <c r="H169" s="121">
        <f t="shared" si="10"/>
        <v>0</v>
      </c>
      <c r="I169" s="121">
        <f t="shared" si="11"/>
        <v>0</v>
      </c>
      <c r="J169" s="237">
        <f t="shared" si="5"/>
        <v>0</v>
      </c>
    </row>
    <row r="170" spans="1:10" s="123" customFormat="1" ht="15" customHeight="1" hidden="1" outlineLevel="3">
      <c r="A170" s="102" t="s">
        <v>493</v>
      </c>
      <c r="B170" s="120" t="s">
        <v>494</v>
      </c>
      <c r="C170" s="141">
        <f>1.5/100</f>
        <v>0.015</v>
      </c>
      <c r="D170" s="140">
        <v>12</v>
      </c>
      <c r="E170" s="119">
        <v>0</v>
      </c>
      <c r="F170" s="120">
        <f t="shared" si="9"/>
        <v>0</v>
      </c>
      <c r="G170" s="121">
        <v>70</v>
      </c>
      <c r="H170" s="121">
        <f t="shared" si="10"/>
        <v>0</v>
      </c>
      <c r="I170" s="121">
        <f t="shared" si="11"/>
        <v>0</v>
      </c>
      <c r="J170" s="237">
        <f t="shared" si="5"/>
        <v>0</v>
      </c>
    </row>
    <row r="171" spans="1:10" s="123" customFormat="1" ht="15" customHeight="1" hidden="1" outlineLevel="3">
      <c r="A171" s="102" t="s">
        <v>495</v>
      </c>
      <c r="B171" s="120" t="s">
        <v>494</v>
      </c>
      <c r="C171" s="141">
        <f>5.38/100</f>
        <v>0.0538</v>
      </c>
      <c r="D171" s="140">
        <v>12</v>
      </c>
      <c r="E171" s="119">
        <v>0</v>
      </c>
      <c r="F171" s="120">
        <f t="shared" si="9"/>
        <v>0</v>
      </c>
      <c r="G171" s="121">
        <v>30</v>
      </c>
      <c r="H171" s="121">
        <f t="shared" si="10"/>
        <v>0</v>
      </c>
      <c r="I171" s="121">
        <f t="shared" si="11"/>
        <v>0</v>
      </c>
      <c r="J171" s="237">
        <f t="shared" si="5"/>
        <v>0</v>
      </c>
    </row>
    <row r="172" spans="1:10" s="123" customFormat="1" ht="15" customHeight="1" hidden="1" outlineLevel="3">
      <c r="A172" s="102" t="s">
        <v>496</v>
      </c>
      <c r="B172" s="120" t="s">
        <v>497</v>
      </c>
      <c r="C172" s="141">
        <f>1/60</f>
        <v>0.016666666666666666</v>
      </c>
      <c r="D172" s="140">
        <v>12</v>
      </c>
      <c r="E172" s="119">
        <v>0</v>
      </c>
      <c r="F172" s="120">
        <f t="shared" si="9"/>
        <v>0</v>
      </c>
      <c r="G172" s="121">
        <v>7800</v>
      </c>
      <c r="H172" s="121">
        <f t="shared" si="10"/>
        <v>0</v>
      </c>
      <c r="I172" s="121">
        <f t="shared" si="11"/>
        <v>0</v>
      </c>
      <c r="J172" s="237">
        <f t="shared" si="5"/>
        <v>0</v>
      </c>
    </row>
    <row r="173" spans="1:10" s="69" customFormat="1" ht="15" customHeight="1" hidden="1" outlineLevel="1" collapsed="1" thickBot="1">
      <c r="A173" s="142" t="s">
        <v>498</v>
      </c>
      <c r="B173" s="115" t="s">
        <v>364</v>
      </c>
      <c r="C173" s="115" t="s">
        <v>364</v>
      </c>
      <c r="D173" s="143" t="s">
        <v>364</v>
      </c>
      <c r="E173" s="116" t="s">
        <v>364</v>
      </c>
      <c r="F173" s="115" t="s">
        <v>364</v>
      </c>
      <c r="G173" s="144" t="s">
        <v>364</v>
      </c>
      <c r="H173" s="116">
        <v>0</v>
      </c>
      <c r="I173" s="116">
        <f>H173/12</f>
        <v>0</v>
      </c>
      <c r="J173" s="238">
        <f t="shared" si="5"/>
        <v>0</v>
      </c>
    </row>
    <row r="174" spans="1:10" ht="31.5" collapsed="1" thickBot="1">
      <c r="A174" s="92" t="s">
        <v>289</v>
      </c>
      <c r="B174" s="93" t="s">
        <v>359</v>
      </c>
      <c r="C174" s="93" t="s">
        <v>360</v>
      </c>
      <c r="D174" s="93" t="s">
        <v>361</v>
      </c>
      <c r="E174" s="93" t="s">
        <v>329</v>
      </c>
      <c r="F174" s="93" t="s">
        <v>362</v>
      </c>
      <c r="G174" s="94" t="s">
        <v>363</v>
      </c>
      <c r="H174" s="95">
        <v>2091.04</v>
      </c>
      <c r="I174" s="95">
        <f>H174/12</f>
        <v>174.25333333333333</v>
      </c>
      <c r="J174" s="96">
        <f t="shared" si="5"/>
        <v>0.07153844048498781</v>
      </c>
    </row>
    <row r="175" spans="1:10" s="69" customFormat="1" ht="30" customHeight="1" thickBot="1">
      <c r="A175" s="92" t="s">
        <v>531</v>
      </c>
      <c r="B175" s="93" t="s">
        <v>359</v>
      </c>
      <c r="C175" s="93" t="s">
        <v>360</v>
      </c>
      <c r="D175" s="93" t="s">
        <v>361</v>
      </c>
      <c r="E175" s="93" t="s">
        <v>329</v>
      </c>
      <c r="F175" s="93" t="s">
        <v>362</v>
      </c>
      <c r="G175" s="94" t="s">
        <v>363</v>
      </c>
      <c r="H175" s="95">
        <v>95582.06</v>
      </c>
      <c r="I175" s="95">
        <f aca="true" t="shared" si="12" ref="I175:I195">H175/12</f>
        <v>7965.171666666666</v>
      </c>
      <c r="J175" s="96">
        <f t="shared" si="5"/>
        <v>3.2700433806825955</v>
      </c>
    </row>
    <row r="176" spans="1:10" s="69" customFormat="1" ht="31.5" thickBot="1">
      <c r="A176" s="183" t="s">
        <v>286</v>
      </c>
      <c r="B176" s="184"/>
      <c r="C176" s="184"/>
      <c r="D176" s="184" t="s">
        <v>361</v>
      </c>
      <c r="E176" s="184" t="s">
        <v>329</v>
      </c>
      <c r="F176" s="184" t="s">
        <v>362</v>
      </c>
      <c r="G176" s="185" t="s">
        <v>363</v>
      </c>
      <c r="H176" s="186">
        <f>SUM(H177:H190)</f>
        <v>174461.25600000002</v>
      </c>
      <c r="I176" s="186">
        <f t="shared" si="12"/>
        <v>14538.438000000002</v>
      </c>
      <c r="J176" s="187">
        <f t="shared" si="5"/>
        <v>5.968650135479104</v>
      </c>
    </row>
    <row r="177" spans="1:10" s="69" customFormat="1" ht="15" customHeight="1">
      <c r="A177" s="98" t="s">
        <v>276</v>
      </c>
      <c r="B177" s="99" t="s">
        <v>364</v>
      </c>
      <c r="C177" s="99" t="s">
        <v>364</v>
      </c>
      <c r="D177" s="160">
        <v>12</v>
      </c>
      <c r="E177" s="99">
        <f>E9</f>
        <v>2435.8</v>
      </c>
      <c r="F177" s="99">
        <f>D177*E177</f>
        <v>29229.600000000002</v>
      </c>
      <c r="G177" s="146">
        <v>0.44</v>
      </c>
      <c r="H177" s="100">
        <f>F177*G177</f>
        <v>12861.024000000001</v>
      </c>
      <c r="I177" s="100">
        <f t="shared" si="12"/>
        <v>1071.7520000000002</v>
      </c>
      <c r="J177" s="236">
        <f t="shared" si="5"/>
        <v>0.44000000000000006</v>
      </c>
    </row>
    <row r="178" spans="1:10" s="69" customFormat="1" ht="15" customHeight="1" hidden="1">
      <c r="A178" s="106" t="s">
        <v>277</v>
      </c>
      <c r="B178" s="68" t="s">
        <v>364</v>
      </c>
      <c r="C178" s="68" t="s">
        <v>364</v>
      </c>
      <c r="D178" s="67">
        <v>12</v>
      </c>
      <c r="E178" s="68">
        <f>E11</f>
        <v>670.1</v>
      </c>
      <c r="F178" s="68">
        <f>D178*E178</f>
        <v>8041.200000000001</v>
      </c>
      <c r="G178" s="139">
        <v>0</v>
      </c>
      <c r="H178" s="108">
        <f aca="true" t="shared" si="13" ref="H178:H190">F178*G178</f>
        <v>0</v>
      </c>
      <c r="I178" s="108">
        <f t="shared" si="12"/>
        <v>0</v>
      </c>
      <c r="J178" s="237">
        <f t="shared" si="5"/>
        <v>0</v>
      </c>
    </row>
    <row r="179" spans="1:10" s="69" customFormat="1" ht="15" customHeight="1">
      <c r="A179" s="106" t="s">
        <v>278</v>
      </c>
      <c r="B179" s="68" t="s">
        <v>364</v>
      </c>
      <c r="C179" s="68" t="s">
        <v>364</v>
      </c>
      <c r="D179" s="67">
        <v>1</v>
      </c>
      <c r="E179" s="68">
        <f>E11</f>
        <v>670.1</v>
      </c>
      <c r="F179" s="68">
        <f>D179*E179</f>
        <v>670.1</v>
      </c>
      <c r="G179" s="139">
        <v>3.12</v>
      </c>
      <c r="H179" s="108">
        <f>F179*G179</f>
        <v>2090.712</v>
      </c>
      <c r="I179" s="108">
        <f t="shared" si="12"/>
        <v>174.226</v>
      </c>
      <c r="J179" s="237">
        <f t="shared" si="5"/>
        <v>0.07152721898349618</v>
      </c>
    </row>
    <row r="180" spans="1:10" s="69" customFormat="1" ht="15" customHeight="1" hidden="1">
      <c r="A180" s="106" t="s">
        <v>285</v>
      </c>
      <c r="B180" s="68" t="s">
        <v>364</v>
      </c>
      <c r="C180" s="68" t="s">
        <v>364</v>
      </c>
      <c r="D180" s="67">
        <v>12</v>
      </c>
      <c r="E180" s="68">
        <f>E10</f>
        <v>60</v>
      </c>
      <c r="F180" s="68">
        <v>0</v>
      </c>
      <c r="G180" s="139">
        <v>25</v>
      </c>
      <c r="H180" s="108">
        <f t="shared" si="13"/>
        <v>0</v>
      </c>
      <c r="I180" s="108">
        <f t="shared" si="12"/>
        <v>0</v>
      </c>
      <c r="J180" s="237">
        <f aca="true" t="shared" si="14" ref="J180:J195">I180/$E$9</f>
        <v>0</v>
      </c>
    </row>
    <row r="181" spans="1:10" s="69" customFormat="1" ht="15" customHeight="1">
      <c r="A181" s="106" t="s">
        <v>290</v>
      </c>
      <c r="B181" s="68" t="s">
        <v>380</v>
      </c>
      <c r="C181" s="68">
        <v>2.2</v>
      </c>
      <c r="D181" s="67">
        <v>1</v>
      </c>
      <c r="E181" s="68">
        <f>E24</f>
        <v>180</v>
      </c>
      <c r="F181" s="68">
        <f>C181*D181*E181</f>
        <v>396.00000000000006</v>
      </c>
      <c r="G181" s="139">
        <v>265.62</v>
      </c>
      <c r="H181" s="108">
        <f t="shared" si="13"/>
        <v>105185.52000000002</v>
      </c>
      <c r="I181" s="108">
        <f t="shared" si="12"/>
        <v>8765.460000000001</v>
      </c>
      <c r="J181" s="237">
        <f t="shared" si="14"/>
        <v>3.5985959438377537</v>
      </c>
    </row>
    <row r="182" spans="1:10" s="69" customFormat="1" ht="15" customHeight="1" hidden="1">
      <c r="A182" s="106" t="s">
        <v>291</v>
      </c>
      <c r="B182" s="68" t="s">
        <v>364</v>
      </c>
      <c r="C182" s="68" t="s">
        <v>364</v>
      </c>
      <c r="D182" s="67">
        <v>12</v>
      </c>
      <c r="E182" s="68">
        <v>0</v>
      </c>
      <c r="F182" s="68">
        <f aca="true" t="shared" si="15" ref="F182:F190">D182*E182</f>
        <v>0</v>
      </c>
      <c r="G182" s="139">
        <f>216.11*1.18</f>
        <v>255.0098</v>
      </c>
      <c r="H182" s="108">
        <f t="shared" si="13"/>
        <v>0</v>
      </c>
      <c r="I182" s="108">
        <f t="shared" si="12"/>
        <v>0</v>
      </c>
      <c r="J182" s="237">
        <f t="shared" si="14"/>
        <v>0</v>
      </c>
    </row>
    <row r="183" spans="1:10" s="69" customFormat="1" ht="15" customHeight="1">
      <c r="A183" s="106" t="s">
        <v>297</v>
      </c>
      <c r="B183" s="68" t="s">
        <v>364</v>
      </c>
      <c r="C183" s="68" t="s">
        <v>364</v>
      </c>
      <c r="D183" s="67">
        <v>1</v>
      </c>
      <c r="E183" s="68">
        <f>E30</f>
        <v>120</v>
      </c>
      <c r="F183" s="68">
        <f>E183*D183</f>
        <v>120</v>
      </c>
      <c r="G183" s="139">
        <v>11</v>
      </c>
      <c r="H183" s="108">
        <f>F183*G183</f>
        <v>1320</v>
      </c>
      <c r="I183" s="108">
        <f t="shared" si="12"/>
        <v>110</v>
      </c>
      <c r="J183" s="237">
        <f t="shared" si="14"/>
        <v>0.0451597011248871</v>
      </c>
    </row>
    <row r="184" spans="1:10" s="69" customFormat="1" ht="15" customHeight="1">
      <c r="A184" s="106" t="s">
        <v>298</v>
      </c>
      <c r="B184" s="68" t="s">
        <v>364</v>
      </c>
      <c r="C184" s="68" t="s">
        <v>364</v>
      </c>
      <c r="D184" s="67">
        <v>4</v>
      </c>
      <c r="E184" s="68">
        <f>E31</f>
        <v>60</v>
      </c>
      <c r="F184" s="68">
        <f>E184*D184</f>
        <v>240</v>
      </c>
      <c r="G184" s="139">
        <v>19</v>
      </c>
      <c r="H184" s="108">
        <f>F184*G184</f>
        <v>4560</v>
      </c>
      <c r="I184" s="108">
        <f t="shared" si="12"/>
        <v>380</v>
      </c>
      <c r="J184" s="237">
        <f t="shared" si="14"/>
        <v>0.15600624024960996</v>
      </c>
    </row>
    <row r="185" spans="1:10" s="69" customFormat="1" ht="15" customHeight="1" hidden="1">
      <c r="A185" s="106" t="s">
        <v>279</v>
      </c>
      <c r="B185" s="68" t="s">
        <v>364</v>
      </c>
      <c r="C185" s="68" t="s">
        <v>364</v>
      </c>
      <c r="D185" s="67">
        <v>0</v>
      </c>
      <c r="E185" s="68">
        <v>70</v>
      </c>
      <c r="F185" s="68">
        <f t="shared" si="15"/>
        <v>0</v>
      </c>
      <c r="G185" s="139">
        <f>11.5+15.28</f>
        <v>26.78</v>
      </c>
      <c r="H185" s="108">
        <f t="shared" si="13"/>
        <v>0</v>
      </c>
      <c r="I185" s="108">
        <f t="shared" si="12"/>
        <v>0</v>
      </c>
      <c r="J185" s="237">
        <f t="shared" si="14"/>
        <v>0</v>
      </c>
    </row>
    <row r="186" spans="1:10" s="69" customFormat="1" ht="15" customHeight="1">
      <c r="A186" s="106" t="s">
        <v>295</v>
      </c>
      <c r="B186" s="68" t="s">
        <v>364</v>
      </c>
      <c r="C186" s="68" t="s">
        <v>364</v>
      </c>
      <c r="D186" s="67">
        <v>12</v>
      </c>
      <c r="E186" s="68">
        <v>200</v>
      </c>
      <c r="F186" s="68">
        <f t="shared" si="15"/>
        <v>2400</v>
      </c>
      <c r="G186" s="139">
        <v>2.77</v>
      </c>
      <c r="H186" s="108">
        <f t="shared" si="13"/>
        <v>6648</v>
      </c>
      <c r="I186" s="108">
        <f t="shared" si="12"/>
        <v>554</v>
      </c>
      <c r="J186" s="237">
        <f t="shared" si="14"/>
        <v>0.22744067657443137</v>
      </c>
    </row>
    <row r="187" spans="1:10" s="69" customFormat="1" ht="15" customHeight="1">
      <c r="A187" s="106" t="s">
        <v>296</v>
      </c>
      <c r="B187" s="68" t="s">
        <v>364</v>
      </c>
      <c r="C187" s="68" t="s">
        <v>364</v>
      </c>
      <c r="D187" s="67">
        <v>12</v>
      </c>
      <c r="E187" s="68">
        <v>300</v>
      </c>
      <c r="F187" s="68">
        <f t="shared" si="15"/>
        <v>3600</v>
      </c>
      <c r="G187" s="139">
        <v>1.28</v>
      </c>
      <c r="H187" s="108">
        <f t="shared" si="13"/>
        <v>4608</v>
      </c>
      <c r="I187" s="108">
        <f t="shared" si="12"/>
        <v>384</v>
      </c>
      <c r="J187" s="237">
        <f t="shared" si="14"/>
        <v>0.15764841119960588</v>
      </c>
    </row>
    <row r="188" spans="1:10" s="69" customFormat="1" ht="15" customHeight="1" thickBot="1">
      <c r="A188" s="106" t="s">
        <v>293</v>
      </c>
      <c r="B188" s="68" t="s">
        <v>364</v>
      </c>
      <c r="C188" s="68" t="s">
        <v>364</v>
      </c>
      <c r="D188" s="67">
        <v>12</v>
      </c>
      <c r="E188" s="68">
        <f>IF(E34=0,E10,0)</f>
        <v>60</v>
      </c>
      <c r="F188" s="68">
        <f t="shared" si="15"/>
        <v>720</v>
      </c>
      <c r="G188" s="139">
        <v>51.65</v>
      </c>
      <c r="H188" s="108">
        <f t="shared" si="13"/>
        <v>37188</v>
      </c>
      <c r="I188" s="108">
        <f t="shared" si="12"/>
        <v>3099</v>
      </c>
      <c r="J188" s="237">
        <f t="shared" si="14"/>
        <v>1.2722719435093193</v>
      </c>
    </row>
    <row r="189" spans="1:10" s="69" customFormat="1" ht="15" customHeight="1" hidden="1">
      <c r="A189" s="106" t="s">
        <v>292</v>
      </c>
      <c r="B189" s="68" t="s">
        <v>364</v>
      </c>
      <c r="C189" s="68" t="s">
        <v>364</v>
      </c>
      <c r="D189" s="67">
        <v>0</v>
      </c>
      <c r="E189" s="68">
        <f>E10</f>
        <v>60</v>
      </c>
      <c r="F189" s="68">
        <f>D189*E189</f>
        <v>0</v>
      </c>
      <c r="G189" s="139">
        <f>51.65+4.6*1.07</f>
        <v>56.571999999999996</v>
      </c>
      <c r="H189" s="108">
        <f>F189*G189</f>
        <v>0</v>
      </c>
      <c r="I189" s="108">
        <f>H189/12</f>
        <v>0</v>
      </c>
      <c r="J189" s="237">
        <f t="shared" si="14"/>
        <v>0</v>
      </c>
    </row>
    <row r="190" spans="1:10" s="69" customFormat="1" ht="15" customHeight="1" hidden="1">
      <c r="A190" s="106" t="s">
        <v>280</v>
      </c>
      <c r="B190" s="68" t="s">
        <v>364</v>
      </c>
      <c r="C190" s="68" t="s">
        <v>364</v>
      </c>
      <c r="D190" s="67">
        <v>12</v>
      </c>
      <c r="E190" s="68">
        <v>0</v>
      </c>
      <c r="F190" s="68">
        <f t="shared" si="15"/>
        <v>0</v>
      </c>
      <c r="G190" s="139">
        <v>0</v>
      </c>
      <c r="H190" s="108">
        <f t="shared" si="13"/>
        <v>0</v>
      </c>
      <c r="I190" s="108">
        <f t="shared" si="12"/>
        <v>0</v>
      </c>
      <c r="J190" s="237">
        <f t="shared" si="14"/>
        <v>0</v>
      </c>
    </row>
    <row r="191" spans="1:10" s="69" customFormat="1" ht="15" customHeight="1">
      <c r="A191" s="232" t="s">
        <v>283</v>
      </c>
      <c r="B191" s="233"/>
      <c r="C191" s="233"/>
      <c r="D191" s="233"/>
      <c r="E191" s="233"/>
      <c r="F191" s="233"/>
      <c r="G191" s="221"/>
      <c r="H191" s="240">
        <f>H176+H175+H174+H50+H46+H45+H44</f>
        <v>520682.97599999997</v>
      </c>
      <c r="I191" s="240">
        <f>H191/12</f>
        <v>43390.248</v>
      </c>
      <c r="J191" s="236">
        <f>I191/$E$9</f>
        <v>17.813551194679366</v>
      </c>
    </row>
    <row r="192" spans="1:10" s="69" customFormat="1" ht="15" customHeight="1">
      <c r="A192" s="183" t="s">
        <v>272</v>
      </c>
      <c r="B192" s="184"/>
      <c r="C192" s="184"/>
      <c r="D192" s="184"/>
      <c r="E192" s="184"/>
      <c r="F192" s="184"/>
      <c r="G192" s="185">
        <v>0.07</v>
      </c>
      <c r="H192" s="241">
        <f>H191*G192</f>
        <v>36447.808320000004</v>
      </c>
      <c r="I192" s="241">
        <f t="shared" si="12"/>
        <v>3037.3173600000005</v>
      </c>
      <c r="J192" s="237">
        <f t="shared" si="14"/>
        <v>1.2469485836275558</v>
      </c>
    </row>
    <row r="193" spans="1:10" ht="15" customHeight="1" hidden="1">
      <c r="A193" s="183" t="s">
        <v>525</v>
      </c>
      <c r="B193" s="184"/>
      <c r="C193" s="184"/>
      <c r="D193" s="184">
        <v>12</v>
      </c>
      <c r="E193" s="184">
        <f>E9</f>
        <v>2435.8</v>
      </c>
      <c r="F193" s="184">
        <f>D193*E193</f>
        <v>29229.600000000002</v>
      </c>
      <c r="G193" s="185">
        <v>0</v>
      </c>
      <c r="H193" s="241">
        <f>F193*G193</f>
        <v>0</v>
      </c>
      <c r="I193" s="241">
        <f>H193/12</f>
        <v>0</v>
      </c>
      <c r="J193" s="237">
        <f t="shared" si="14"/>
        <v>0</v>
      </c>
    </row>
    <row r="194" spans="1:10" s="69" customFormat="1" ht="15" customHeight="1">
      <c r="A194" s="183" t="s">
        <v>281</v>
      </c>
      <c r="B194" s="184"/>
      <c r="C194" s="184"/>
      <c r="D194" s="184">
        <v>12</v>
      </c>
      <c r="E194" s="184">
        <f>E9</f>
        <v>2435.8</v>
      </c>
      <c r="F194" s="184">
        <f>D194*E194</f>
        <v>29229.600000000002</v>
      </c>
      <c r="G194" s="186">
        <v>19.65</v>
      </c>
      <c r="H194" s="241">
        <f>F194*G194</f>
        <v>574361.64</v>
      </c>
      <c r="I194" s="241">
        <f>H194/12</f>
        <v>47863.47</v>
      </c>
      <c r="J194" s="237">
        <f t="shared" si="14"/>
        <v>19.65</v>
      </c>
    </row>
    <row r="195" spans="1:10" s="69" customFormat="1" ht="15" customHeight="1" thickBot="1">
      <c r="A195" s="183" t="s">
        <v>284</v>
      </c>
      <c r="B195" s="184"/>
      <c r="C195" s="184"/>
      <c r="D195" s="184"/>
      <c r="E195" s="184"/>
      <c r="F195" s="184"/>
      <c r="G195" s="185">
        <v>0.03</v>
      </c>
      <c r="H195" s="241">
        <f>H194*G195</f>
        <v>17230.8492</v>
      </c>
      <c r="I195" s="241">
        <f t="shared" si="12"/>
        <v>1435.9041</v>
      </c>
      <c r="J195" s="237">
        <f t="shared" si="14"/>
        <v>0.5894999999999999</v>
      </c>
    </row>
    <row r="196" spans="1:10" ht="21.75" customHeight="1" thickBot="1">
      <c r="A196" s="437" t="s">
        <v>302</v>
      </c>
      <c r="B196" s="438"/>
      <c r="C196" s="438"/>
      <c r="D196" s="438"/>
      <c r="E196" s="438"/>
      <c r="F196" s="438"/>
      <c r="G196" s="438"/>
      <c r="H196" s="438"/>
      <c r="I196" s="438"/>
      <c r="J196" s="96">
        <f>J44+J45+J46+J174+J175+J176+J192+J193+J195</f>
        <v>19.64999977830692</v>
      </c>
    </row>
    <row r="197" spans="1:10" ht="21.75" customHeight="1">
      <c r="A197" s="222"/>
      <c r="B197" s="222"/>
      <c r="C197" s="222"/>
      <c r="D197" s="222"/>
      <c r="E197" s="222"/>
      <c r="F197" s="222"/>
      <c r="G197" s="222"/>
      <c r="H197" s="222"/>
      <c r="I197" s="222"/>
      <c r="J197" s="186"/>
    </row>
    <row r="198" spans="1:10" ht="15" customHeight="1">
      <c r="A198" s="165" t="s">
        <v>509</v>
      </c>
      <c r="B198" s="166"/>
      <c r="C198" s="166"/>
      <c r="D198" s="166"/>
      <c r="E198" s="167"/>
      <c r="F198" s="167"/>
      <c r="G198" s="166"/>
      <c r="H198" s="168"/>
      <c r="I198" s="169" t="s">
        <v>510</v>
      </c>
      <c r="J198" s="72"/>
    </row>
    <row r="199" spans="1:10" ht="15" customHeight="1">
      <c r="A199" s="170"/>
      <c r="B199" s="166"/>
      <c r="C199" s="166"/>
      <c r="D199" s="166"/>
      <c r="E199" s="167"/>
      <c r="F199" s="167"/>
      <c r="G199" s="166"/>
      <c r="H199" s="171">
        <v>40634</v>
      </c>
      <c r="I199" s="169"/>
      <c r="J199" s="72"/>
    </row>
    <row r="200" spans="1:10" ht="15" customHeight="1">
      <c r="A200" s="170"/>
      <c r="B200" s="166"/>
      <c r="C200" s="166"/>
      <c r="D200" s="166"/>
      <c r="E200" s="167"/>
      <c r="F200" s="167"/>
      <c r="G200" s="166"/>
      <c r="H200" s="171"/>
      <c r="I200" s="169"/>
      <c r="J200" s="72"/>
    </row>
    <row r="201" spans="1:10" ht="15" customHeight="1">
      <c r="A201" s="170"/>
      <c r="B201" s="166"/>
      <c r="C201" s="166"/>
      <c r="D201" s="166"/>
      <c r="E201" s="167"/>
      <c r="F201" s="167"/>
      <c r="G201" s="166"/>
      <c r="H201" s="171"/>
      <c r="I201" s="169"/>
      <c r="J201" s="72"/>
    </row>
  </sheetData>
  <mergeCells count="7">
    <mergeCell ref="A196:I196"/>
    <mergeCell ref="G1:J1"/>
    <mergeCell ref="G2:J2"/>
    <mergeCell ref="G3:J3"/>
    <mergeCell ref="A6:I6"/>
    <mergeCell ref="B7:C7"/>
    <mergeCell ref="A43:F4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Виктория</cp:lastModifiedBy>
  <cp:lastPrinted>2011-12-09T08:44:38Z</cp:lastPrinted>
  <dcterms:created xsi:type="dcterms:W3CDTF">2011-04-20T07:05:49Z</dcterms:created>
  <dcterms:modified xsi:type="dcterms:W3CDTF">2011-12-09T09:01:38Z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